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MINedu\Exc_vysk_2022\Excelentne_pracoviska\"/>
    </mc:Choice>
  </mc:AlternateContent>
  <bookViews>
    <workbookView xWindow="-90" yWindow="-90" windowWidth="19380" windowHeight="10380" activeTab="5"/>
  </bookViews>
  <sheets>
    <sheet name="E1_alokácia" sheetId="33" r:id="rId1"/>
    <sheet name="E2_zamestnanci_2019" sheetId="2" r:id="rId2"/>
    <sheet name="E3_oblasti" sheetId="35" r:id="rId3"/>
    <sheet name="E4a_M1_prirodne" sheetId="27" r:id="rId4"/>
    <sheet name="E4b_M2_technicke" sheetId="28" r:id="rId5"/>
    <sheet name="E4c_M3_lekarske" sheetId="29" r:id="rId6"/>
    <sheet name="E4d_M4_polno_les_vet" sheetId="30" r:id="rId7"/>
    <sheet name="E4e_M5_spolocenske" sheetId="31" r:id="rId8"/>
    <sheet name="E4f_M6_humanitne" sheetId="32" r:id="rId9"/>
    <sheet name="E4g_M6_umenie" sheetId="34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3" i="29" l="1"/>
  <c r="AZ12" i="29"/>
  <c r="AZ11" i="29"/>
  <c r="AZ10" i="29"/>
  <c r="AZ9" i="29"/>
  <c r="AZ8" i="29"/>
  <c r="AZ7" i="29"/>
  <c r="AZ6" i="29"/>
  <c r="AZ5" i="29"/>
  <c r="AZ4" i="29"/>
  <c r="AZ3" i="29"/>
  <c r="AW16" i="29"/>
  <c r="AW17" i="29"/>
  <c r="AX17" i="29"/>
  <c r="AX16" i="29"/>
  <c r="K49" i="32" l="1"/>
  <c r="L45" i="32"/>
  <c r="L37" i="32"/>
  <c r="L36" i="32"/>
  <c r="L35" i="32"/>
  <c r="L34" i="32"/>
  <c r="L28" i="32"/>
  <c r="L4" i="32"/>
  <c r="L3" i="32"/>
  <c r="K45" i="32"/>
  <c r="K37" i="32"/>
  <c r="K36" i="32"/>
  <c r="K35" i="32"/>
  <c r="K34" i="32"/>
  <c r="K28" i="32"/>
  <c r="K4" i="32"/>
  <c r="K3" i="32"/>
  <c r="Z2" i="32"/>
  <c r="O50" i="32"/>
  <c r="O45" i="32"/>
  <c r="M34" i="32"/>
  <c r="O37" i="32"/>
  <c r="O36" i="32"/>
  <c r="O35" i="32"/>
  <c r="O34" i="32"/>
  <c r="O28" i="32"/>
  <c r="O4" i="32"/>
  <c r="O3" i="32"/>
  <c r="X45" i="32"/>
  <c r="X37" i="32"/>
  <c r="X36" i="32"/>
  <c r="X35" i="32"/>
  <c r="X34" i="32"/>
  <c r="X28" i="32"/>
  <c r="X4" i="32"/>
  <c r="X3" i="32"/>
  <c r="AB3" i="32"/>
  <c r="H48" i="32"/>
  <c r="H47" i="32"/>
  <c r="H46" i="32"/>
  <c r="H45" i="32"/>
  <c r="H44" i="32"/>
  <c r="H42" i="32"/>
  <c r="H38" i="32"/>
  <c r="H37" i="32"/>
  <c r="H36" i="32"/>
  <c r="H35" i="32"/>
  <c r="H34" i="32"/>
  <c r="H33" i="32"/>
  <c r="H32" i="32"/>
  <c r="H31" i="32"/>
  <c r="H30" i="32"/>
  <c r="H28" i="32"/>
  <c r="H27" i="32"/>
  <c r="H26" i="32"/>
  <c r="H25" i="32"/>
  <c r="H22" i="32"/>
  <c r="H21" i="32"/>
  <c r="H17" i="32"/>
  <c r="H14" i="32"/>
  <c r="H13" i="32"/>
  <c r="H11" i="32"/>
  <c r="H10" i="32"/>
  <c r="H8" i="32"/>
  <c r="H7" i="32"/>
  <c r="H5" i="32"/>
  <c r="H4" i="32"/>
  <c r="H3" i="32"/>
  <c r="AY48" i="32"/>
  <c r="AY47" i="32"/>
  <c r="AY46" i="32"/>
  <c r="AY45" i="32"/>
  <c r="AY44" i="32"/>
  <c r="AY42" i="32"/>
  <c r="AY38" i="32"/>
  <c r="AY37" i="32"/>
  <c r="AY36" i="32"/>
  <c r="AY35" i="32"/>
  <c r="AY34" i="32"/>
  <c r="AY33" i="32"/>
  <c r="AY32" i="32"/>
  <c r="AY31" i="32"/>
  <c r="AY30" i="32"/>
  <c r="AY28" i="32"/>
  <c r="AY27" i="32"/>
  <c r="AY26" i="32"/>
  <c r="AY25" i="32"/>
  <c r="AY22" i="32"/>
  <c r="AY21" i="32"/>
  <c r="AY17" i="32"/>
  <c r="AY14" i="32"/>
  <c r="AY13" i="32"/>
  <c r="AY11" i="32"/>
  <c r="AY10" i="32"/>
  <c r="AY8" i="32"/>
  <c r="AY7" i="32"/>
  <c r="AY5" i="32"/>
  <c r="AY4" i="32"/>
  <c r="AY3" i="32"/>
  <c r="AW51" i="32"/>
  <c r="AW50" i="32"/>
  <c r="AW48" i="32"/>
  <c r="AW47" i="32"/>
  <c r="AW46" i="32"/>
  <c r="AW45" i="32"/>
  <c r="AW44" i="32"/>
  <c r="AW42" i="32"/>
  <c r="AW38" i="32"/>
  <c r="AW37" i="32"/>
  <c r="AW36" i="32"/>
  <c r="AW35" i="32"/>
  <c r="AW34" i="32"/>
  <c r="AW33" i="32"/>
  <c r="AW32" i="32"/>
  <c r="AW31" i="32"/>
  <c r="AW30" i="32"/>
  <c r="AW28" i="32"/>
  <c r="AW27" i="32"/>
  <c r="AW26" i="32"/>
  <c r="AW25" i="32"/>
  <c r="AW22" i="32"/>
  <c r="AW21" i="32"/>
  <c r="AW17" i="32"/>
  <c r="AW14" i="32"/>
  <c r="AW13" i="32"/>
  <c r="AW11" i="32"/>
  <c r="AW10" i="32"/>
  <c r="AW8" i="32"/>
  <c r="AW7" i="32"/>
  <c r="AW5" i="32"/>
  <c r="AW4" i="32"/>
  <c r="AW3" i="32"/>
  <c r="AI48" i="32"/>
  <c r="AI47" i="32"/>
  <c r="AI46" i="32"/>
  <c r="AI45" i="32"/>
  <c r="AI44" i="32"/>
  <c r="AI42" i="32"/>
  <c r="AI38" i="32"/>
  <c r="AI37" i="32"/>
  <c r="AI36" i="32"/>
  <c r="AI35" i="32"/>
  <c r="AI34" i="32"/>
  <c r="AI33" i="32"/>
  <c r="AI32" i="32"/>
  <c r="AI31" i="32"/>
  <c r="AI30" i="32"/>
  <c r="AI28" i="32"/>
  <c r="AI27" i="32"/>
  <c r="AI26" i="32"/>
  <c r="AI25" i="32"/>
  <c r="AI22" i="32"/>
  <c r="AI21" i="32"/>
  <c r="AI17" i="32"/>
  <c r="AI14" i="32"/>
  <c r="AI13" i="32"/>
  <c r="AI11" i="32"/>
  <c r="AI10" i="32"/>
  <c r="AI8" i="32"/>
  <c r="AI7" i="32"/>
  <c r="AI5" i="32"/>
  <c r="AI4" i="32"/>
  <c r="AI3" i="32"/>
  <c r="AG74" i="31"/>
  <c r="AG63" i="31"/>
  <c r="AG58" i="31"/>
  <c r="AG57" i="31"/>
  <c r="AG51" i="31"/>
  <c r="AG50" i="31"/>
  <c r="AG43" i="31"/>
  <c r="AG37" i="31"/>
  <c r="AG35" i="31"/>
  <c r="AG31" i="31"/>
  <c r="AG29" i="31"/>
  <c r="AG28" i="31"/>
  <c r="AG25" i="31"/>
  <c r="AG19" i="31"/>
  <c r="AG12" i="31"/>
  <c r="AG10" i="31"/>
  <c r="AG9" i="31"/>
  <c r="AG6" i="31"/>
  <c r="AG5" i="31"/>
  <c r="AF75" i="31"/>
  <c r="AF74" i="31"/>
  <c r="AF63" i="31"/>
  <c r="AF58" i="31"/>
  <c r="AF57" i="31"/>
  <c r="AF51" i="31"/>
  <c r="AF50" i="31"/>
  <c r="AF43" i="31"/>
  <c r="AF35" i="31"/>
  <c r="AF31" i="31"/>
  <c r="AF29" i="31"/>
  <c r="AF28" i="31"/>
  <c r="AF25" i="31"/>
  <c r="AF19" i="31"/>
  <c r="AF12" i="31"/>
  <c r="AF10" i="31"/>
  <c r="AF9" i="31"/>
  <c r="AF6" i="31"/>
  <c r="AH51" i="31"/>
  <c r="AN3" i="31"/>
  <c r="AI75" i="31"/>
  <c r="AI74" i="31"/>
  <c r="AI63" i="31"/>
  <c r="AI58" i="31"/>
  <c r="AI57" i="31"/>
  <c r="AI51" i="31"/>
  <c r="AI50" i="31"/>
  <c r="AI43" i="31"/>
  <c r="AI35" i="31"/>
  <c r="AI31" i="31"/>
  <c r="AI29" i="31"/>
  <c r="AI28" i="31"/>
  <c r="AI25" i="31"/>
  <c r="AI19" i="31"/>
  <c r="AI12" i="31"/>
  <c r="AI10" i="31"/>
  <c r="AI9" i="31"/>
  <c r="AI6" i="31"/>
  <c r="AN75" i="31"/>
  <c r="AN74" i="31"/>
  <c r="AN63" i="31"/>
  <c r="AN58" i="31"/>
  <c r="AN57" i="31"/>
  <c r="AN51" i="31"/>
  <c r="AN50" i="31"/>
  <c r="AN43" i="31"/>
  <c r="AN35" i="31"/>
  <c r="AN31" i="31"/>
  <c r="AN29" i="31"/>
  <c r="AN28" i="31"/>
  <c r="AN25" i="31"/>
  <c r="AN19" i="31"/>
  <c r="AN12" i="31"/>
  <c r="AN10" i="31"/>
  <c r="AN9" i="31"/>
  <c r="AN6" i="31"/>
  <c r="AR2" i="31"/>
  <c r="AB74" i="31"/>
  <c r="AB73" i="31"/>
  <c r="AB72" i="31"/>
  <c r="AB71" i="31"/>
  <c r="AB70" i="31"/>
  <c r="AB69" i="31"/>
  <c r="AB67" i="31"/>
  <c r="AB66" i="31"/>
  <c r="AB65" i="31"/>
  <c r="AB64" i="31"/>
  <c r="AB63" i="31"/>
  <c r="AB62" i="31"/>
  <c r="AB61" i="31"/>
  <c r="AB60" i="31"/>
  <c r="AB59" i="31"/>
  <c r="AB58" i="31"/>
  <c r="AB57" i="31"/>
  <c r="AB56" i="31"/>
  <c r="AB55" i="31"/>
  <c r="AB54" i="31"/>
  <c r="AB53" i="31"/>
  <c r="AB52" i="31"/>
  <c r="AB51" i="31"/>
  <c r="AB50" i="31"/>
  <c r="AB49" i="31"/>
  <c r="AB48" i="31"/>
  <c r="AB47" i="31"/>
  <c r="AB46" i="31"/>
  <c r="AB45" i="31"/>
  <c r="AB44" i="31"/>
  <c r="AB43" i="31"/>
  <c r="AB42" i="31"/>
  <c r="AB41" i="31"/>
  <c r="AB40" i="31"/>
  <c r="AB39" i="31"/>
  <c r="AB38" i="31"/>
  <c r="AB37" i="31"/>
  <c r="AB36" i="31"/>
  <c r="AB35" i="31"/>
  <c r="AB34" i="31"/>
  <c r="AB33" i="31"/>
  <c r="AB32" i="31"/>
  <c r="AB31" i="31"/>
  <c r="AB30" i="31"/>
  <c r="AB29" i="31"/>
  <c r="AB28" i="31"/>
  <c r="AB25" i="31"/>
  <c r="AB24" i="31"/>
  <c r="AB23" i="31"/>
  <c r="AB22" i="31"/>
  <c r="AB21" i="31"/>
  <c r="AB20" i="31"/>
  <c r="AB19" i="31"/>
  <c r="AB18" i="31"/>
  <c r="AB16" i="31"/>
  <c r="AB15" i="31"/>
  <c r="AB13" i="31"/>
  <c r="AB12" i="31"/>
  <c r="AB11" i="31"/>
  <c r="AB10" i="31"/>
  <c r="AB9" i="31"/>
  <c r="AB8" i="31"/>
  <c r="AB7" i="31"/>
  <c r="AB6" i="31"/>
  <c r="AB5" i="31"/>
  <c r="AB4" i="31"/>
  <c r="AB3" i="31"/>
  <c r="BO74" i="31"/>
  <c r="BO73" i="31"/>
  <c r="BO72" i="31"/>
  <c r="BO71" i="31"/>
  <c r="BO70" i="31"/>
  <c r="BO69" i="31"/>
  <c r="BO67" i="31"/>
  <c r="BO66" i="31"/>
  <c r="BO65" i="31"/>
  <c r="BO64" i="31"/>
  <c r="BO63" i="31"/>
  <c r="BO62" i="31"/>
  <c r="BO61" i="31"/>
  <c r="BO60" i="31"/>
  <c r="BO59" i="31"/>
  <c r="BO58" i="31"/>
  <c r="BO57" i="31"/>
  <c r="BO56" i="31"/>
  <c r="BO55" i="31"/>
  <c r="BO54" i="31"/>
  <c r="BO53" i="31"/>
  <c r="BO52" i="31"/>
  <c r="BO51" i="31"/>
  <c r="BO50" i="31"/>
  <c r="BO49" i="31"/>
  <c r="BO48" i="31"/>
  <c r="BO47" i="31"/>
  <c r="BO46" i="31"/>
  <c r="BO45" i="31"/>
  <c r="BO44" i="31"/>
  <c r="BO43" i="31"/>
  <c r="BO42" i="31"/>
  <c r="BO41" i="31"/>
  <c r="BO40" i="31"/>
  <c r="BO39" i="31"/>
  <c r="BO38" i="31"/>
  <c r="BO37" i="31"/>
  <c r="BO36" i="31"/>
  <c r="BO35" i="31"/>
  <c r="BO34" i="31"/>
  <c r="BO33" i="31"/>
  <c r="BO32" i="31"/>
  <c r="BO31" i="31"/>
  <c r="BO30" i="31"/>
  <c r="BO29" i="31"/>
  <c r="BO28" i="31"/>
  <c r="BO25" i="31"/>
  <c r="BO24" i="31"/>
  <c r="BO23" i="31"/>
  <c r="BO22" i="31"/>
  <c r="BO21" i="31"/>
  <c r="BO20" i="31"/>
  <c r="BO19" i="31"/>
  <c r="BO18" i="31"/>
  <c r="BO16" i="31"/>
  <c r="BO15" i="31"/>
  <c r="BO13" i="31"/>
  <c r="BO12" i="31"/>
  <c r="BO11" i="31"/>
  <c r="BO10" i="31"/>
  <c r="BO9" i="31"/>
  <c r="BO8" i="31"/>
  <c r="BO7" i="31"/>
  <c r="BO6" i="31"/>
  <c r="BO5" i="31"/>
  <c r="BO4" i="31"/>
  <c r="BO3" i="31"/>
  <c r="BM77" i="31"/>
  <c r="BM76" i="31"/>
  <c r="BM74" i="31"/>
  <c r="BM73" i="31"/>
  <c r="BM72" i="31"/>
  <c r="BM71" i="31"/>
  <c r="BM70" i="31"/>
  <c r="BM69" i="31"/>
  <c r="BM67" i="31"/>
  <c r="BM66" i="31"/>
  <c r="BM65" i="31"/>
  <c r="BM64" i="31"/>
  <c r="BM63" i="31"/>
  <c r="BM62" i="31"/>
  <c r="BM61" i="31"/>
  <c r="BM60" i="31"/>
  <c r="BM59" i="31"/>
  <c r="BM58" i="31"/>
  <c r="BM57" i="31"/>
  <c r="BM56" i="31"/>
  <c r="BM55" i="31"/>
  <c r="BM54" i="31"/>
  <c r="BM53" i="31"/>
  <c r="BM52" i="31"/>
  <c r="BM51" i="31"/>
  <c r="BM50" i="31"/>
  <c r="BM49" i="31"/>
  <c r="BM48" i="31"/>
  <c r="BM47" i="31"/>
  <c r="BM46" i="31"/>
  <c r="BM45" i="31"/>
  <c r="BM44" i="31"/>
  <c r="BM43" i="31"/>
  <c r="BM42" i="31"/>
  <c r="BM41" i="31"/>
  <c r="BM40" i="31"/>
  <c r="BM39" i="31"/>
  <c r="BM38" i="31"/>
  <c r="BM37" i="31"/>
  <c r="BM36" i="31"/>
  <c r="BM35" i="31"/>
  <c r="BM34" i="31"/>
  <c r="BM33" i="31"/>
  <c r="BM32" i="31"/>
  <c r="BM31" i="31"/>
  <c r="BM30" i="31"/>
  <c r="BM29" i="31"/>
  <c r="BM28" i="31"/>
  <c r="BM25" i="31"/>
  <c r="BM24" i="31"/>
  <c r="BM23" i="31"/>
  <c r="BM22" i="31"/>
  <c r="BM21" i="31"/>
  <c r="BM20" i="31"/>
  <c r="BM19" i="31"/>
  <c r="BM18" i="31"/>
  <c r="BM16" i="31"/>
  <c r="BM15" i="31"/>
  <c r="BM13" i="31"/>
  <c r="BM12" i="31"/>
  <c r="BM11" i="31"/>
  <c r="BM10" i="31"/>
  <c r="BM9" i="31"/>
  <c r="BM8" i="31"/>
  <c r="BM7" i="31"/>
  <c r="BM6" i="31"/>
  <c r="BM5" i="31"/>
  <c r="BM4" i="31"/>
  <c r="BM3" i="31"/>
  <c r="BG74" i="31"/>
  <c r="BG73" i="31"/>
  <c r="BG72" i="31"/>
  <c r="BG71" i="31"/>
  <c r="BG70" i="31"/>
  <c r="BG69" i="31"/>
  <c r="BG67" i="31"/>
  <c r="BG66" i="31"/>
  <c r="BG65" i="31"/>
  <c r="BG64" i="31"/>
  <c r="BG63" i="31"/>
  <c r="BG62" i="31"/>
  <c r="BG61" i="31"/>
  <c r="BG60" i="31"/>
  <c r="BG59" i="31"/>
  <c r="BG58" i="31"/>
  <c r="BG57" i="31"/>
  <c r="BG56" i="31"/>
  <c r="BG55" i="31"/>
  <c r="BG54" i="31"/>
  <c r="BG53" i="31"/>
  <c r="BG52" i="31"/>
  <c r="BG51" i="31"/>
  <c r="BG50" i="31"/>
  <c r="BG49" i="31"/>
  <c r="BG48" i="31"/>
  <c r="BG47" i="31"/>
  <c r="BG46" i="31"/>
  <c r="BG45" i="31"/>
  <c r="BG44" i="31"/>
  <c r="BG43" i="31"/>
  <c r="BG42" i="31"/>
  <c r="BG41" i="31"/>
  <c r="BG40" i="31"/>
  <c r="BG39" i="31"/>
  <c r="BG38" i="31"/>
  <c r="BG37" i="31"/>
  <c r="BG36" i="31"/>
  <c r="BG35" i="31"/>
  <c r="BG34" i="31"/>
  <c r="BG33" i="31"/>
  <c r="BG32" i="31"/>
  <c r="BG31" i="31"/>
  <c r="BG30" i="31"/>
  <c r="BG29" i="31"/>
  <c r="BG28" i="31"/>
  <c r="BG25" i="31"/>
  <c r="BG24" i="31"/>
  <c r="BG23" i="31"/>
  <c r="BG22" i="31"/>
  <c r="BG21" i="31"/>
  <c r="BG20" i="31"/>
  <c r="BG19" i="31"/>
  <c r="BG18" i="31"/>
  <c r="BG16" i="31"/>
  <c r="BG15" i="31"/>
  <c r="BG13" i="31"/>
  <c r="BG12" i="31"/>
  <c r="BG11" i="31"/>
  <c r="BG10" i="31"/>
  <c r="BG9" i="31"/>
  <c r="BG8" i="31"/>
  <c r="BG7" i="31"/>
  <c r="BG6" i="31"/>
  <c r="BG5" i="31"/>
  <c r="BG4" i="31"/>
  <c r="BG3" i="31"/>
  <c r="AY74" i="31"/>
  <c r="AY73" i="31"/>
  <c r="AY72" i="31"/>
  <c r="AY71" i="31"/>
  <c r="AY70" i="31"/>
  <c r="AY69" i="31"/>
  <c r="AY67" i="31"/>
  <c r="AY66" i="31"/>
  <c r="AY65" i="31"/>
  <c r="AY64" i="31"/>
  <c r="AY63" i="31"/>
  <c r="AY62" i="31"/>
  <c r="AY61" i="31"/>
  <c r="AY60" i="31"/>
  <c r="AY59" i="31"/>
  <c r="AY58" i="31"/>
  <c r="AY57" i="31"/>
  <c r="AY56" i="31"/>
  <c r="AY55" i="31"/>
  <c r="AY54" i="31"/>
  <c r="AY53" i="31"/>
  <c r="AY52" i="31"/>
  <c r="AY51" i="31"/>
  <c r="AY50" i="31"/>
  <c r="AY49" i="31"/>
  <c r="AY48" i="31"/>
  <c r="AY47" i="31"/>
  <c r="AY46" i="31"/>
  <c r="AY45" i="31"/>
  <c r="AY44" i="31"/>
  <c r="AY43" i="31"/>
  <c r="AY42" i="31"/>
  <c r="AY41" i="31"/>
  <c r="AY40" i="31"/>
  <c r="AY39" i="31"/>
  <c r="AY38" i="31"/>
  <c r="AY37" i="31"/>
  <c r="AY36" i="31"/>
  <c r="AY35" i="31"/>
  <c r="AY34" i="31"/>
  <c r="AY33" i="31"/>
  <c r="AY32" i="31"/>
  <c r="AY31" i="31"/>
  <c r="AY30" i="31"/>
  <c r="AY77" i="31" s="1"/>
  <c r="AY29" i="31"/>
  <c r="AY28" i="31"/>
  <c r="AY25" i="31"/>
  <c r="AY24" i="31"/>
  <c r="AY23" i="31"/>
  <c r="AY22" i="31"/>
  <c r="AY21" i="31"/>
  <c r="AY20" i="31"/>
  <c r="AY19" i="31"/>
  <c r="AY18" i="31"/>
  <c r="AY16" i="31"/>
  <c r="AY15" i="31"/>
  <c r="AY13" i="31"/>
  <c r="AY12" i="31"/>
  <c r="AY11" i="31"/>
  <c r="AY10" i="31"/>
  <c r="AY9" i="31"/>
  <c r="AY8" i="31"/>
  <c r="AY7" i="31"/>
  <c r="AY6" i="31"/>
  <c r="AY5" i="31"/>
  <c r="AY4" i="31"/>
  <c r="AY3" i="31"/>
  <c r="Z9" i="30"/>
  <c r="Z4" i="30"/>
  <c r="Y9" i="30"/>
  <c r="Y4" i="30"/>
  <c r="AJ3" i="30"/>
  <c r="AC12" i="30"/>
  <c r="AC9" i="30"/>
  <c r="AC4" i="30"/>
  <c r="AE9" i="30"/>
  <c r="AE4" i="30"/>
  <c r="AL2" i="30"/>
  <c r="V11" i="30"/>
  <c r="V10" i="30"/>
  <c r="V9" i="30"/>
  <c r="V5" i="30"/>
  <c r="V4" i="30"/>
  <c r="V3" i="30"/>
  <c r="AU11" i="30"/>
  <c r="AU10" i="30"/>
  <c r="AU9" i="30"/>
  <c r="AU5" i="30"/>
  <c r="AU4" i="30"/>
  <c r="AU3" i="30"/>
  <c r="AS14" i="30"/>
  <c r="AS13" i="30"/>
  <c r="AS11" i="30"/>
  <c r="AS10" i="30"/>
  <c r="AS9" i="30"/>
  <c r="AS5" i="30"/>
  <c r="AS4" i="30"/>
  <c r="AS3" i="30"/>
  <c r="BC11" i="30"/>
  <c r="BC10" i="30"/>
  <c r="BC9" i="30"/>
  <c r="BC5" i="30"/>
  <c r="BC4" i="30"/>
  <c r="BC3" i="30"/>
  <c r="BA14" i="30"/>
  <c r="BA13" i="30"/>
  <c r="BA11" i="30"/>
  <c r="BA10" i="30"/>
  <c r="BA9" i="30"/>
  <c r="BA5" i="30"/>
  <c r="BA4" i="30"/>
  <c r="BA3" i="30"/>
  <c r="BH13" i="29"/>
  <c r="BH12" i="29"/>
  <c r="BH11" i="29"/>
  <c r="BH10" i="29"/>
  <c r="BH9" i="29"/>
  <c r="BH8" i="29"/>
  <c r="BH7" i="29"/>
  <c r="BH6" i="29"/>
  <c r="BH5" i="29"/>
  <c r="BH4" i="29"/>
  <c r="BH3" i="29"/>
  <c r="BF16" i="29"/>
  <c r="BF15" i="29"/>
  <c r="BF13" i="29"/>
  <c r="BF12" i="29"/>
  <c r="BF11" i="29"/>
  <c r="BF10" i="29"/>
  <c r="BF9" i="29"/>
  <c r="BF8" i="29"/>
  <c r="BF7" i="29"/>
  <c r="BF6" i="29"/>
  <c r="BF5" i="29"/>
  <c r="BF4" i="29"/>
  <c r="BF3" i="29"/>
  <c r="AK21" i="32" l="1"/>
  <c r="AQ21" i="32" s="1"/>
  <c r="AK46" i="32"/>
  <c r="AQ46" i="32" s="1"/>
  <c r="AK11" i="32"/>
  <c r="AQ11" i="32" s="1"/>
  <c r="AK32" i="32"/>
  <c r="AQ32" i="32" s="1"/>
  <c r="AK38" i="32"/>
  <c r="AQ38" i="32" s="1"/>
  <c r="AK33" i="32"/>
  <c r="AQ33" i="32" s="1"/>
  <c r="AK42" i="32"/>
  <c r="AQ42" i="32" s="1"/>
  <c r="AK8" i="32"/>
  <c r="AQ8" i="32" s="1"/>
  <c r="AK37" i="32"/>
  <c r="AQ37" i="32" s="1"/>
  <c r="AK3" i="32"/>
  <c r="AQ3" i="32" s="1"/>
  <c r="AK25" i="32"/>
  <c r="AQ25" i="32" s="1"/>
  <c r="AI50" i="32"/>
  <c r="AI51" i="32"/>
  <c r="AK47" i="32" s="1"/>
  <c r="AQ47" i="32" s="1"/>
  <c r="AY76" i="31"/>
  <c r="AK22" i="32" l="1"/>
  <c r="AQ22" i="32" s="1"/>
  <c r="AK26" i="32"/>
  <c r="AQ26" i="32" s="1"/>
  <c r="AK35" i="32"/>
  <c r="AQ35" i="32" s="1"/>
  <c r="AK28" i="32"/>
  <c r="AQ28" i="32" s="1"/>
  <c r="AK17" i="32"/>
  <c r="AQ17" i="32" s="1"/>
  <c r="AK44" i="32"/>
  <c r="AQ44" i="32" s="1"/>
  <c r="AK34" i="32"/>
  <c r="AQ34" i="32" s="1"/>
  <c r="AK27" i="32"/>
  <c r="AQ27" i="32" s="1"/>
  <c r="AK14" i="32"/>
  <c r="AQ14" i="32" s="1"/>
  <c r="AK5" i="32"/>
  <c r="AQ5" i="32" s="1"/>
  <c r="AK45" i="32"/>
  <c r="AQ45" i="32" s="1"/>
  <c r="AK7" i="32"/>
  <c r="AQ7" i="32" s="1"/>
  <c r="AK36" i="32"/>
  <c r="AQ36" i="32" s="1"/>
  <c r="AK13" i="32"/>
  <c r="AQ13" i="32" s="1"/>
  <c r="AK31" i="32"/>
  <c r="AQ31" i="32" s="1"/>
  <c r="AK48" i="32"/>
  <c r="AQ48" i="32" s="1"/>
  <c r="AK30" i="32"/>
  <c r="AQ30" i="32" s="1"/>
  <c r="AK4" i="32"/>
  <c r="AQ4" i="32" s="1"/>
  <c r="AK10" i="32"/>
  <c r="AQ10" i="32" s="1"/>
  <c r="BA15" i="31"/>
  <c r="BA40" i="31"/>
  <c r="BA63" i="31"/>
  <c r="BA57" i="31"/>
  <c r="BA51" i="31"/>
  <c r="BA39" i="31"/>
  <c r="BA25" i="31"/>
  <c r="BA5" i="31"/>
  <c r="BA64" i="31"/>
  <c r="BA58" i="31"/>
  <c r="BA52" i="31"/>
  <c r="BA46" i="31"/>
  <c r="BA34" i="31"/>
  <c r="BA28" i="31"/>
  <c r="BA20" i="31"/>
  <c r="BA12" i="31"/>
  <c r="BA6" i="31"/>
  <c r="BA70" i="31"/>
  <c r="BA45" i="31"/>
  <c r="BA33" i="31"/>
  <c r="BA19" i="31"/>
  <c r="BA11" i="31"/>
  <c r="BA71" i="31"/>
  <c r="BA24" i="31"/>
  <c r="BA18" i="31"/>
  <c r="BA10" i="31"/>
  <c r="BA4" i="31"/>
  <c r="BA23" i="31"/>
  <c r="BA16" i="31"/>
  <c r="BA9" i="31"/>
  <c r="BA3" i="31"/>
  <c r="BA22" i="31"/>
  <c r="BA8" i="31"/>
  <c r="BA72" i="31"/>
  <c r="BA65" i="31"/>
  <c r="BA59" i="31"/>
  <c r="BA53" i="31"/>
  <c r="BA47" i="31"/>
  <c r="BA41" i="31"/>
  <c r="BA35" i="31"/>
  <c r="BA29" i="31"/>
  <c r="BA21" i="31"/>
  <c r="BA13" i="31"/>
  <c r="BA7" i="31"/>
  <c r="BA38" i="31"/>
  <c r="BA49" i="31"/>
  <c r="BA60" i="31"/>
  <c r="BA69" i="31"/>
  <c r="BA32" i="31"/>
  <c r="BA43" i="31"/>
  <c r="BA54" i="31"/>
  <c r="BA62" i="31"/>
  <c r="BA74" i="31"/>
  <c r="BA37" i="31"/>
  <c r="BA48" i="31"/>
  <c r="BA56" i="31"/>
  <c r="BA67" i="31"/>
  <c r="BA31" i="31"/>
  <c r="BA42" i="31"/>
  <c r="BA50" i="31"/>
  <c r="BA61" i="31"/>
  <c r="BA73" i="31"/>
  <c r="BA36" i="31"/>
  <c r="BA30" i="31"/>
  <c r="BA44" i="31"/>
  <c r="BA55" i="31"/>
  <c r="BA66" i="31"/>
  <c r="AF34" i="28" l="1"/>
  <c r="AF33" i="28"/>
  <c r="AF26" i="28"/>
  <c r="AF22" i="28"/>
  <c r="AF21" i="28"/>
  <c r="AF20" i="28"/>
  <c r="AF17" i="28"/>
  <c r="AF11" i="28"/>
  <c r="AF10" i="28"/>
  <c r="AF4" i="28"/>
  <c r="AF3" i="28"/>
  <c r="AD3" i="28" l="1"/>
  <c r="AG3" i="28"/>
  <c r="AI3" i="28"/>
  <c r="AN2" i="28"/>
  <c r="Z43" i="28"/>
  <c r="Z42" i="28"/>
  <c r="Z41" i="28"/>
  <c r="Z40" i="28"/>
  <c r="Z39" i="28"/>
  <c r="Z38" i="28"/>
  <c r="Z37" i="28"/>
  <c r="Z36" i="28"/>
  <c r="Z35" i="28"/>
  <c r="Z34" i="28"/>
  <c r="Z33" i="28"/>
  <c r="Z32" i="28"/>
  <c r="Z31" i="28"/>
  <c r="Z30" i="28"/>
  <c r="Z28" i="28"/>
  <c r="Z27" i="28"/>
  <c r="Z26" i="28"/>
  <c r="Z25" i="28"/>
  <c r="Z24" i="28"/>
  <c r="Z23" i="28"/>
  <c r="Z22" i="28"/>
  <c r="Z21" i="28"/>
  <c r="Z20" i="28"/>
  <c r="Z19" i="28"/>
  <c r="Z18" i="28"/>
  <c r="Z17" i="28"/>
  <c r="Z15" i="28"/>
  <c r="Z14" i="28"/>
  <c r="Z13" i="28"/>
  <c r="Z12" i="28"/>
  <c r="Z11" i="28"/>
  <c r="Z10" i="28"/>
  <c r="Z9" i="28"/>
  <c r="Z8" i="28"/>
  <c r="Z7" i="28"/>
  <c r="Z6" i="28"/>
  <c r="Z5" i="28"/>
  <c r="Z4" i="28"/>
  <c r="Z3" i="28"/>
  <c r="BE43" i="28"/>
  <c r="BE42" i="28"/>
  <c r="BE41" i="28"/>
  <c r="BE40" i="28"/>
  <c r="BE39" i="28"/>
  <c r="BE38" i="28"/>
  <c r="BE37" i="28"/>
  <c r="BE36" i="28"/>
  <c r="BE35" i="28"/>
  <c r="BE34" i="28"/>
  <c r="BE33" i="28"/>
  <c r="BE32" i="28"/>
  <c r="BE31" i="28"/>
  <c r="BE30" i="28"/>
  <c r="BE28" i="28"/>
  <c r="BE27" i="28"/>
  <c r="BE26" i="28"/>
  <c r="BE25" i="28"/>
  <c r="BE24" i="28"/>
  <c r="BE23" i="28"/>
  <c r="BE22" i="28"/>
  <c r="BE21" i="28"/>
  <c r="BE20" i="28"/>
  <c r="BE19" i="28"/>
  <c r="BE18" i="28"/>
  <c r="BE17" i="28"/>
  <c r="BE15" i="28"/>
  <c r="BE14" i="28"/>
  <c r="BE13" i="28"/>
  <c r="BE12" i="28"/>
  <c r="BE11" i="28"/>
  <c r="BE10" i="28"/>
  <c r="BE9" i="28"/>
  <c r="BE8" i="28"/>
  <c r="BE7" i="28"/>
  <c r="BE6" i="28"/>
  <c r="BE5" i="28"/>
  <c r="BE4" i="28"/>
  <c r="BE3" i="28"/>
  <c r="BC46" i="28"/>
  <c r="BD31" i="27"/>
  <c r="BC45" i="28"/>
  <c r="BC43" i="28"/>
  <c r="BC42" i="28"/>
  <c r="BC41" i="28"/>
  <c r="BC40" i="28"/>
  <c r="BC39" i="28"/>
  <c r="BC38" i="28"/>
  <c r="BC37" i="28"/>
  <c r="BC36" i="28"/>
  <c r="BC35" i="28"/>
  <c r="BC34" i="28"/>
  <c r="BC33" i="28"/>
  <c r="BC32" i="28"/>
  <c r="BC31" i="28"/>
  <c r="BC30" i="28"/>
  <c r="BC28" i="28"/>
  <c r="BC27" i="28"/>
  <c r="BC26" i="28"/>
  <c r="BC25" i="28"/>
  <c r="BC24" i="28"/>
  <c r="BC23" i="28"/>
  <c r="BC22" i="28"/>
  <c r="BC21" i="28"/>
  <c r="BC20" i="28"/>
  <c r="BC19" i="28"/>
  <c r="BC18" i="28"/>
  <c r="BC17" i="28"/>
  <c r="BC15" i="28"/>
  <c r="BC14" i="28"/>
  <c r="BC13" i="28"/>
  <c r="BC12" i="28"/>
  <c r="BC11" i="28"/>
  <c r="BC10" i="28"/>
  <c r="BC9" i="28"/>
  <c r="BC8" i="28"/>
  <c r="BC7" i="28"/>
  <c r="BC6" i="28"/>
  <c r="BC5" i="28"/>
  <c r="BC4" i="28"/>
  <c r="BC3" i="28"/>
  <c r="BE28" i="27" l="1"/>
  <c r="BE27" i="27"/>
  <c r="BE26" i="27"/>
  <c r="BE25" i="27"/>
  <c r="BE24" i="27"/>
  <c r="BE23" i="27"/>
  <c r="BE22" i="27"/>
  <c r="BE21" i="27"/>
  <c r="BE20" i="27"/>
  <c r="BE19" i="27"/>
  <c r="BE18" i="27"/>
  <c r="BE17" i="27"/>
  <c r="BE16" i="27"/>
  <c r="BE14" i="27"/>
  <c r="BE13" i="27"/>
  <c r="BE11" i="27"/>
  <c r="BE10" i="27"/>
  <c r="BE9" i="27"/>
  <c r="BE8" i="27"/>
  <c r="BE7" i="27"/>
  <c r="BE6" i="27"/>
  <c r="BE5" i="27"/>
  <c r="BE4" i="27"/>
  <c r="BE3" i="27"/>
  <c r="AV28" i="27"/>
  <c r="AV27" i="27"/>
  <c r="AV26" i="27"/>
  <c r="AV25" i="27"/>
  <c r="AV24" i="27"/>
  <c r="AV23" i="27"/>
  <c r="AV22" i="27"/>
  <c r="AV21" i="27"/>
  <c r="AV20" i="27"/>
  <c r="AV19" i="27"/>
  <c r="AV18" i="27"/>
  <c r="AV17" i="27"/>
  <c r="AV16" i="27"/>
  <c r="AV14" i="27"/>
  <c r="AV13" i="27"/>
  <c r="AV11" i="27"/>
  <c r="AV10" i="27"/>
  <c r="AV9" i="27"/>
  <c r="AV8" i="27"/>
  <c r="AV7" i="27"/>
  <c r="AV6" i="27"/>
  <c r="AV5" i="27"/>
  <c r="AV4" i="27"/>
  <c r="AV3" i="27"/>
  <c r="BE30" i="27" l="1"/>
  <c r="BE31" i="27"/>
  <c r="AV31" i="27"/>
  <c r="AV30" i="27"/>
  <c r="F8" i="33"/>
  <c r="F7" i="33"/>
  <c r="F6" i="33"/>
  <c r="I12" i="33"/>
  <c r="H12" i="33"/>
  <c r="K7" i="33" s="1"/>
  <c r="D12" i="33"/>
  <c r="F11" i="33" s="1"/>
  <c r="AS49" i="32"/>
  <c r="BI75" i="31"/>
  <c r="AW12" i="30"/>
  <c r="BB14" i="29"/>
  <c r="AY44" i="28"/>
  <c r="BA29" i="27"/>
  <c r="F9" i="33" l="1"/>
  <c r="F12" i="33" s="1"/>
  <c r="N7" i="33"/>
  <c r="F10" i="33"/>
  <c r="K8" i="33"/>
  <c r="N8" i="33" s="1"/>
  <c r="K9" i="33"/>
  <c r="I13" i="33"/>
  <c r="K10" i="33"/>
  <c r="K11" i="33"/>
  <c r="N11" i="33" s="1"/>
  <c r="K6" i="33"/>
  <c r="BH25" i="27"/>
  <c r="BH19" i="27"/>
  <c r="BH11" i="27"/>
  <c r="BH5" i="27"/>
  <c r="BH24" i="27"/>
  <c r="BH18" i="27"/>
  <c r="BH10" i="27"/>
  <c r="BH4" i="27"/>
  <c r="BH22" i="27"/>
  <c r="BH7" i="27"/>
  <c r="BH23" i="27"/>
  <c r="BH16" i="27"/>
  <c r="BH26" i="27"/>
  <c r="BH17" i="27"/>
  <c r="BH8" i="27"/>
  <c r="BH20" i="27"/>
  <c r="BH9" i="27"/>
  <c r="BH27" i="27"/>
  <c r="BH13" i="27"/>
  <c r="BH3" i="27"/>
  <c r="BH21" i="27"/>
  <c r="BH6" i="27"/>
  <c r="BH28" i="27"/>
  <c r="BH14" i="27"/>
  <c r="AY7" i="27"/>
  <c r="AY26" i="27"/>
  <c r="Y26" i="27" s="1"/>
  <c r="AY25" i="27"/>
  <c r="AY20" i="27"/>
  <c r="Y20" i="27" s="1"/>
  <c r="AY16" i="27"/>
  <c r="AY11" i="27"/>
  <c r="AY8" i="27"/>
  <c r="AY23" i="27"/>
  <c r="AY22" i="27"/>
  <c r="Y22" i="27" s="1"/>
  <c r="AY19" i="27"/>
  <c r="AY28" i="27"/>
  <c r="Y28" i="27" s="1"/>
  <c r="AY14" i="27"/>
  <c r="Y14" i="27" s="1"/>
  <c r="AY3" i="27"/>
  <c r="AY24" i="27"/>
  <c r="AY18" i="27"/>
  <c r="AY10" i="27"/>
  <c r="AY4" i="27"/>
  <c r="AY27" i="27"/>
  <c r="AY13" i="27"/>
  <c r="Y13" i="27" s="1"/>
  <c r="AY17" i="27"/>
  <c r="Y17" i="27" s="1"/>
  <c r="AY5" i="27"/>
  <c r="AY21" i="27"/>
  <c r="AY6" i="27"/>
  <c r="Y6" i="27" s="1"/>
  <c r="AY9" i="27"/>
  <c r="Y27" i="27" l="1"/>
  <c r="Y21" i="27"/>
  <c r="Y4" i="27"/>
  <c r="Y16" i="27"/>
  <c r="Y10" i="27"/>
  <c r="Y19" i="27"/>
  <c r="Y18" i="27"/>
  <c r="Y25" i="27"/>
  <c r="N10" i="33"/>
  <c r="N9" i="33"/>
  <c r="N6" i="33"/>
  <c r="K12" i="33"/>
  <c r="Y5" i="27"/>
  <c r="Y24" i="27"/>
  <c r="Y23" i="27"/>
  <c r="Y3" i="27"/>
  <c r="Y8" i="27"/>
  <c r="Y7" i="27"/>
  <c r="Y9" i="27"/>
  <c r="Y11" i="27"/>
  <c r="U12" i="29"/>
  <c r="U6" i="29"/>
  <c r="V13" i="29"/>
  <c r="V12" i="29"/>
  <c r="V11" i="29"/>
  <c r="V10" i="29"/>
  <c r="V9" i="29"/>
  <c r="V8" i="29"/>
  <c r="V7" i="29"/>
  <c r="V6" i="29"/>
  <c r="V5" i="29"/>
  <c r="V4" i="29"/>
  <c r="V3" i="29"/>
  <c r="AX13" i="29"/>
  <c r="AX12" i="29"/>
  <c r="AX11" i="29"/>
  <c r="AX10" i="29"/>
  <c r="AX9" i="29"/>
  <c r="AX8" i="29"/>
  <c r="AX7" i="29"/>
  <c r="AX6" i="29"/>
  <c r="AX5" i="29"/>
  <c r="AX4" i="29"/>
  <c r="AX3" i="29"/>
  <c r="U8" i="29" l="1"/>
  <c r="U7" i="29"/>
  <c r="U13" i="29"/>
  <c r="U3" i="29"/>
  <c r="U9" i="29"/>
  <c r="AQ2" i="29"/>
  <c r="AH3" i="29" s="1"/>
  <c r="AD3" i="29" s="1"/>
  <c r="U4" i="29"/>
  <c r="U10" i="29"/>
  <c r="U5" i="29"/>
  <c r="U11" i="29"/>
  <c r="N12" i="33"/>
  <c r="AO2" i="27"/>
  <c r="X46" i="34"/>
  <c r="W46" i="34"/>
  <c r="V46" i="34"/>
  <c r="U46" i="34"/>
  <c r="Q46" i="34"/>
  <c r="P46" i="34"/>
  <c r="O46" i="34"/>
  <c r="N46" i="34"/>
  <c r="X28" i="34"/>
  <c r="W28" i="34"/>
  <c r="V28" i="34"/>
  <c r="U28" i="34"/>
  <c r="Q28" i="34"/>
  <c r="P28" i="34"/>
  <c r="O28" i="34"/>
  <c r="N28" i="34"/>
  <c r="H35" i="34"/>
  <c r="I35" i="34" s="1"/>
  <c r="H28" i="34"/>
  <c r="H38" i="34" s="1"/>
  <c r="I38" i="34" s="1"/>
  <c r="C16" i="33"/>
  <c r="E14" i="33" s="1"/>
  <c r="F39" i="34"/>
  <c r="F38" i="34"/>
  <c r="F37" i="34"/>
  <c r="F35" i="34"/>
  <c r="F34" i="34"/>
  <c r="F33" i="34"/>
  <c r="F32" i="34"/>
  <c r="F31" i="34"/>
  <c r="F30" i="34"/>
  <c r="F25" i="34"/>
  <c r="F24" i="34"/>
  <c r="F23" i="34"/>
  <c r="F21" i="34"/>
  <c r="F20" i="34"/>
  <c r="F19" i="34"/>
  <c r="F16" i="34"/>
  <c r="AH4" i="29" l="1"/>
  <c r="AD4" i="29" s="1"/>
  <c r="AP2" i="29"/>
  <c r="AG3" i="29" s="1"/>
  <c r="AC3" i="29" s="1"/>
  <c r="AH5" i="29"/>
  <c r="AD5" i="29" s="1"/>
  <c r="AD14" i="29" s="1"/>
  <c r="AN3" i="29" s="1"/>
  <c r="Z3" i="29" s="1"/>
  <c r="E15" i="33"/>
  <c r="AG4" i="27"/>
  <c r="AE4" i="27" s="1"/>
  <c r="AG10" i="27"/>
  <c r="AE10" i="27" s="1"/>
  <c r="AG19" i="27"/>
  <c r="AE19" i="27" s="1"/>
  <c r="AG25" i="27"/>
  <c r="AE25" i="27" s="1"/>
  <c r="AG3" i="27"/>
  <c r="H33" i="34"/>
  <c r="AD49" i="32"/>
  <c r="AE48" i="32"/>
  <c r="AE47" i="32"/>
  <c r="AE46" i="32"/>
  <c r="AE45" i="32"/>
  <c r="AE44" i="32"/>
  <c r="AE42" i="32"/>
  <c r="AE38" i="32"/>
  <c r="AE37" i="32"/>
  <c r="AE36" i="32"/>
  <c r="AE35" i="32"/>
  <c r="AE34" i="32"/>
  <c r="AE33" i="32"/>
  <c r="AE32" i="32"/>
  <c r="AE31" i="32"/>
  <c r="AE30" i="32"/>
  <c r="AE28" i="32"/>
  <c r="AE27" i="32"/>
  <c r="AE26" i="32"/>
  <c r="AE25" i="32"/>
  <c r="AE22" i="32"/>
  <c r="AE21" i="32"/>
  <c r="AE17" i="32"/>
  <c r="AE14" i="32"/>
  <c r="AE13" i="32"/>
  <c r="AE11" i="32"/>
  <c r="AE10" i="32"/>
  <c r="AE8" i="32"/>
  <c r="AE7" i="32"/>
  <c r="AE5" i="32"/>
  <c r="AE4" i="32"/>
  <c r="AE3" i="32"/>
  <c r="AT75" i="31"/>
  <c r="AU67" i="31"/>
  <c r="AU66" i="31"/>
  <c r="AU65" i="31"/>
  <c r="AU64" i="31"/>
  <c r="AU63" i="31"/>
  <c r="AU62" i="31"/>
  <c r="AU61" i="31"/>
  <c r="AU60" i="31"/>
  <c r="AU59" i="31"/>
  <c r="AU58" i="31"/>
  <c r="AU57" i="31"/>
  <c r="AU56" i="31"/>
  <c r="AU55" i="31"/>
  <c r="AU54" i="31"/>
  <c r="AU53" i="31"/>
  <c r="AU52" i="31"/>
  <c r="AU51" i="31"/>
  <c r="AU50" i="31"/>
  <c r="AU49" i="31"/>
  <c r="AU48" i="31"/>
  <c r="AU47" i="31"/>
  <c r="AU46" i="31"/>
  <c r="AU45" i="31"/>
  <c r="AU44" i="31"/>
  <c r="AU43" i="31"/>
  <c r="AU42" i="31"/>
  <c r="AU41" i="31"/>
  <c r="AU40" i="31"/>
  <c r="AU39" i="31"/>
  <c r="AU38" i="31"/>
  <c r="AU37" i="31"/>
  <c r="AU36" i="31"/>
  <c r="AU35" i="31"/>
  <c r="AU34" i="31"/>
  <c r="AU33" i="31"/>
  <c r="AU32" i="31"/>
  <c r="AU31" i="31"/>
  <c r="AU30" i="31"/>
  <c r="AU29" i="31"/>
  <c r="AU28" i="31"/>
  <c r="AU25" i="31"/>
  <c r="AU24" i="31"/>
  <c r="AU23" i="31"/>
  <c r="AU22" i="31"/>
  <c r="AU21" i="31"/>
  <c r="AU20" i="31"/>
  <c r="AU19" i="31"/>
  <c r="AU18" i="31"/>
  <c r="AU16" i="31"/>
  <c r="AU15" i="31"/>
  <c r="AU13" i="31"/>
  <c r="AU12" i="31"/>
  <c r="AU11" i="31"/>
  <c r="AU10" i="31"/>
  <c r="AU9" i="31"/>
  <c r="AU8" i="31"/>
  <c r="AU7" i="31"/>
  <c r="AU6" i="31"/>
  <c r="AU5" i="31"/>
  <c r="AU4" i="31"/>
  <c r="AU3" i="31"/>
  <c r="AN12" i="30"/>
  <c r="AO11" i="30"/>
  <c r="AO10" i="30"/>
  <c r="AO9" i="30"/>
  <c r="AO5" i="30"/>
  <c r="AO4" i="30"/>
  <c r="AO3" i="30"/>
  <c r="AS14" i="29"/>
  <c r="AT13" i="29"/>
  <c r="AT12" i="29"/>
  <c r="AT11" i="29"/>
  <c r="AT10" i="29"/>
  <c r="AT9" i="29"/>
  <c r="AT8" i="29"/>
  <c r="AT7" i="29"/>
  <c r="AT6" i="29"/>
  <c r="AT5" i="29"/>
  <c r="AT4" i="29"/>
  <c r="AT3" i="29"/>
  <c r="Z4" i="29" l="1"/>
  <c r="AA4" i="29" s="1"/>
  <c r="Z5" i="29"/>
  <c r="AA5" i="29" s="1"/>
  <c r="AG5" i="29"/>
  <c r="AC5" i="29" s="1"/>
  <c r="AG4" i="29"/>
  <c r="AC4" i="29" s="1"/>
  <c r="AA3" i="29"/>
  <c r="AG29" i="27"/>
  <c r="AE3" i="27"/>
  <c r="H40" i="34"/>
  <c r="I33" i="34"/>
  <c r="BF43" i="28"/>
  <c r="BF42" i="28"/>
  <c r="BF41" i="28"/>
  <c r="BF40" i="28"/>
  <c r="BF39" i="28"/>
  <c r="BF38" i="28"/>
  <c r="BF37" i="28"/>
  <c r="BF36" i="28"/>
  <c r="BF35" i="28"/>
  <c r="BF34" i="28"/>
  <c r="BF33" i="28"/>
  <c r="BF32" i="28"/>
  <c r="BF31" i="28"/>
  <c r="BF30" i="28"/>
  <c r="BF29" i="28"/>
  <c r="BF28" i="28"/>
  <c r="BF27" i="28"/>
  <c r="BF26" i="28"/>
  <c r="BF25" i="28"/>
  <c r="BF24" i="28"/>
  <c r="BF23" i="28"/>
  <c r="BF22" i="28"/>
  <c r="BF21" i="28"/>
  <c r="BF20" i="28"/>
  <c r="BF19" i="28"/>
  <c r="BF18" i="28"/>
  <c r="BF17" i="28"/>
  <c r="BF16" i="28"/>
  <c r="BF15" i="28"/>
  <c r="BF14" i="28"/>
  <c r="BF13" i="28"/>
  <c r="BF12" i="28"/>
  <c r="BF11" i="28"/>
  <c r="BF10" i="28"/>
  <c r="BF9" i="28"/>
  <c r="BF8" i="28"/>
  <c r="BF7" i="28"/>
  <c r="BF6" i="28"/>
  <c r="BF5" i="28"/>
  <c r="BF4" i="28"/>
  <c r="BF3" i="28"/>
  <c r="AP44" i="28"/>
  <c r="AQ43" i="28"/>
  <c r="AQ42" i="28"/>
  <c r="AQ41" i="28"/>
  <c r="AQ40" i="28"/>
  <c r="AQ39" i="28"/>
  <c r="AQ38" i="28"/>
  <c r="AQ37" i="28"/>
  <c r="AQ36" i="28"/>
  <c r="AQ35" i="28"/>
  <c r="AQ34" i="28"/>
  <c r="AQ33" i="28"/>
  <c r="AQ32" i="28"/>
  <c r="AQ31" i="28"/>
  <c r="AQ30" i="28"/>
  <c r="AQ28" i="28"/>
  <c r="AQ27" i="28"/>
  <c r="AQ26" i="28"/>
  <c r="AQ25" i="28"/>
  <c r="AQ24" i="28"/>
  <c r="AQ23" i="28"/>
  <c r="AQ22" i="28"/>
  <c r="AQ21" i="28"/>
  <c r="AQ20" i="28"/>
  <c r="AQ19" i="28"/>
  <c r="AQ18" i="28"/>
  <c r="AQ17" i="28"/>
  <c r="AQ15" i="28"/>
  <c r="AQ14" i="28"/>
  <c r="AQ13" i="28"/>
  <c r="AQ12" i="28"/>
  <c r="AQ11" i="28"/>
  <c r="AQ10" i="28"/>
  <c r="AQ9" i="28"/>
  <c r="AQ8" i="28"/>
  <c r="AQ7" i="28"/>
  <c r="AQ6" i="28"/>
  <c r="AQ5" i="28"/>
  <c r="AQ4" i="28"/>
  <c r="AQ3" i="28"/>
  <c r="AQ29" i="27"/>
  <c r="AR28" i="27"/>
  <c r="AR27" i="27"/>
  <c r="AR26" i="27"/>
  <c r="AR25" i="27"/>
  <c r="AR24" i="27"/>
  <c r="AR23" i="27"/>
  <c r="AR22" i="27"/>
  <c r="AR21" i="27"/>
  <c r="AR20" i="27"/>
  <c r="AR19" i="27"/>
  <c r="AR18" i="27"/>
  <c r="AR17" i="27"/>
  <c r="AR16" i="27"/>
  <c r="AR14" i="27"/>
  <c r="AR13" i="27"/>
  <c r="AR11" i="27"/>
  <c r="AR10" i="27"/>
  <c r="AR9" i="27"/>
  <c r="AR8" i="27"/>
  <c r="AR7" i="27"/>
  <c r="AR6" i="27"/>
  <c r="AR5" i="27"/>
  <c r="AR4" i="27"/>
  <c r="AR3" i="27"/>
  <c r="Z14" i="29" l="1"/>
  <c r="AC14" i="29"/>
  <c r="AM3" i="29" s="1"/>
  <c r="Y3" i="29" s="1"/>
  <c r="AE29" i="27"/>
  <c r="AM5" i="27" s="1"/>
  <c r="AA3" i="27" s="1"/>
  <c r="I40" i="34"/>
  <c r="I28" i="34" s="1"/>
  <c r="AQ44" i="28"/>
  <c r="AV48" i="32"/>
  <c r="AV47" i="32"/>
  <c r="AV46" i="32"/>
  <c r="AV45" i="32"/>
  <c r="AV44" i="32"/>
  <c r="AV42" i="32"/>
  <c r="AV38" i="32"/>
  <c r="AV37" i="32"/>
  <c r="AV36" i="32"/>
  <c r="AV35" i="32"/>
  <c r="AV34" i="32"/>
  <c r="AV33" i="32"/>
  <c r="AV32" i="32"/>
  <c r="AV31" i="32"/>
  <c r="AV30" i="32"/>
  <c r="AV28" i="32"/>
  <c r="AV27" i="32"/>
  <c r="AV26" i="32"/>
  <c r="AV25" i="32"/>
  <c r="AV22" i="32"/>
  <c r="AV21" i="32"/>
  <c r="AV17" i="32"/>
  <c r="AV14" i="32"/>
  <c r="AV13" i="32"/>
  <c r="AV11" i="32"/>
  <c r="AV10" i="32"/>
  <c r="AV8" i="32"/>
  <c r="AV7" i="32"/>
  <c r="AV5" i="32"/>
  <c r="AV4" i="32"/>
  <c r="AV3" i="32"/>
  <c r="AR49" i="32"/>
  <c r="AN48" i="32"/>
  <c r="AN47" i="32"/>
  <c r="AN46" i="32"/>
  <c r="AN45" i="32"/>
  <c r="AN44" i="32"/>
  <c r="AN42" i="32"/>
  <c r="AN38" i="32"/>
  <c r="AN37" i="32"/>
  <c r="AN36" i="32"/>
  <c r="AN35" i="32"/>
  <c r="AN34" i="32"/>
  <c r="AN33" i="32"/>
  <c r="AN32" i="32"/>
  <c r="AN31" i="32"/>
  <c r="AN30" i="32"/>
  <c r="AN28" i="32"/>
  <c r="AN27" i="32"/>
  <c r="AN26" i="32"/>
  <c r="AN25" i="32"/>
  <c r="AN22" i="32"/>
  <c r="AN21" i="32"/>
  <c r="AN17" i="32"/>
  <c r="AN14" i="32"/>
  <c r="AN13" i="32"/>
  <c r="AN11" i="32"/>
  <c r="AN10" i="32"/>
  <c r="AN8" i="32"/>
  <c r="AN7" i="32"/>
  <c r="AN5" i="32"/>
  <c r="AN4" i="32"/>
  <c r="AN3" i="32"/>
  <c r="AL49" i="32"/>
  <c r="AH48" i="32"/>
  <c r="AH47" i="32"/>
  <c r="AH46" i="32"/>
  <c r="AH45" i="32"/>
  <c r="AH44" i="32"/>
  <c r="AH42" i="32"/>
  <c r="AH38" i="32"/>
  <c r="AH37" i="32"/>
  <c r="AH36" i="32"/>
  <c r="AH35" i="32"/>
  <c r="AH34" i="32"/>
  <c r="AH33" i="32"/>
  <c r="AH32" i="32"/>
  <c r="AH31" i="32"/>
  <c r="AH30" i="32"/>
  <c r="AH28" i="32"/>
  <c r="AH27" i="32"/>
  <c r="AH26" i="32"/>
  <c r="AH25" i="32"/>
  <c r="AH22" i="32"/>
  <c r="AH21" i="32"/>
  <c r="AH17" i="32"/>
  <c r="AH14" i="32"/>
  <c r="AH13" i="32"/>
  <c r="AH11" i="32"/>
  <c r="AH10" i="32"/>
  <c r="AH8" i="32"/>
  <c r="AH7" i="32"/>
  <c r="AH5" i="32"/>
  <c r="AH4" i="32"/>
  <c r="AH3" i="32"/>
  <c r="AC49" i="32"/>
  <c r="BB75" i="31"/>
  <c r="BD74" i="31"/>
  <c r="BD73" i="31"/>
  <c r="BD72" i="31"/>
  <c r="BD71" i="31"/>
  <c r="BD70" i="31"/>
  <c r="BD69" i="31"/>
  <c r="BD67" i="31"/>
  <c r="BD66" i="31"/>
  <c r="BD65" i="31"/>
  <c r="BD64" i="31"/>
  <c r="BD63" i="31"/>
  <c r="BD62" i="31"/>
  <c r="BD61" i="31"/>
  <c r="BD60" i="31"/>
  <c r="BD59" i="31"/>
  <c r="BD58" i="31"/>
  <c r="BD57" i="31"/>
  <c r="BD56" i="31"/>
  <c r="BD55" i="31"/>
  <c r="BD54" i="31"/>
  <c r="BD53" i="31"/>
  <c r="BD52" i="31"/>
  <c r="BD51" i="31"/>
  <c r="BD50" i="31"/>
  <c r="BD49" i="31"/>
  <c r="BD48" i="31"/>
  <c r="BD47" i="31"/>
  <c r="BD46" i="31"/>
  <c r="BD45" i="31"/>
  <c r="BD44" i="31"/>
  <c r="BD43" i="31"/>
  <c r="BD42" i="31"/>
  <c r="BD41" i="31"/>
  <c r="BD40" i="31"/>
  <c r="BD39" i="31"/>
  <c r="BD38" i="31"/>
  <c r="BD37" i="31"/>
  <c r="BD36" i="31"/>
  <c r="BD35" i="31"/>
  <c r="BD34" i="31"/>
  <c r="BD33" i="31"/>
  <c r="BD32" i="31"/>
  <c r="BD31" i="31"/>
  <c r="BD30" i="31"/>
  <c r="BD29" i="31"/>
  <c r="BD28" i="31"/>
  <c r="BD25" i="31"/>
  <c r="BD24" i="31"/>
  <c r="BD23" i="31"/>
  <c r="BD22" i="31"/>
  <c r="BD21" i="31"/>
  <c r="BD20" i="31"/>
  <c r="BD19" i="31"/>
  <c r="BD18" i="31"/>
  <c r="BD16" i="31"/>
  <c r="BD15" i="31"/>
  <c r="BD13" i="31"/>
  <c r="BD12" i="31"/>
  <c r="BD11" i="31"/>
  <c r="BD10" i="31"/>
  <c r="BD9" i="31"/>
  <c r="BD8" i="31"/>
  <c r="BD7" i="31"/>
  <c r="BD6" i="31"/>
  <c r="BD5" i="31"/>
  <c r="BD4" i="31"/>
  <c r="BD3" i="31"/>
  <c r="BL74" i="31"/>
  <c r="BL73" i="31"/>
  <c r="BL72" i="31"/>
  <c r="BL71" i="31"/>
  <c r="BL70" i="31"/>
  <c r="BL69" i="31"/>
  <c r="BL67" i="31"/>
  <c r="BL66" i="31"/>
  <c r="BL65" i="31"/>
  <c r="BL64" i="31"/>
  <c r="BL63" i="31"/>
  <c r="BL62" i="31"/>
  <c r="BL61" i="31"/>
  <c r="BL60" i="31"/>
  <c r="BL59" i="31"/>
  <c r="BL58" i="31"/>
  <c r="BL57" i="31"/>
  <c r="BL56" i="31"/>
  <c r="BL55" i="31"/>
  <c r="BL54" i="31"/>
  <c r="BL53" i="31"/>
  <c r="BL52" i="31"/>
  <c r="BL51" i="31"/>
  <c r="BL50" i="31"/>
  <c r="BL49" i="31"/>
  <c r="BL48" i="31"/>
  <c r="BL47" i="31"/>
  <c r="BL46" i="31"/>
  <c r="BL45" i="31"/>
  <c r="BL44" i="31"/>
  <c r="BL43" i="31"/>
  <c r="BL42" i="31"/>
  <c r="BL41" i="31"/>
  <c r="BL40" i="31"/>
  <c r="BL39" i="31"/>
  <c r="BL38" i="31"/>
  <c r="BL37" i="31"/>
  <c r="BL36" i="31"/>
  <c r="BL35" i="31"/>
  <c r="BL34" i="31"/>
  <c r="BL33" i="31"/>
  <c r="BL32" i="31"/>
  <c r="BL31" i="31"/>
  <c r="BL30" i="31"/>
  <c r="BL29" i="31"/>
  <c r="BL28" i="31"/>
  <c r="BL25" i="31"/>
  <c r="BL24" i="31"/>
  <c r="BL23" i="31"/>
  <c r="BL22" i="31"/>
  <c r="BL21" i="31"/>
  <c r="BL20" i="31"/>
  <c r="BL19" i="31"/>
  <c r="BL18" i="31"/>
  <c r="BL16" i="31"/>
  <c r="BL15" i="31"/>
  <c r="BL13" i="31"/>
  <c r="BL12" i="31"/>
  <c r="BL11" i="31"/>
  <c r="BL10" i="31"/>
  <c r="BL9" i="31"/>
  <c r="BL8" i="31"/>
  <c r="BL7" i="31"/>
  <c r="BL6" i="31"/>
  <c r="BL5" i="31"/>
  <c r="BL4" i="31"/>
  <c r="BL3" i="31"/>
  <c r="BH75" i="31"/>
  <c r="AX74" i="31"/>
  <c r="AX73" i="31"/>
  <c r="AX72" i="31"/>
  <c r="AX71" i="31"/>
  <c r="AX70" i="31"/>
  <c r="AX69" i="31"/>
  <c r="AX67" i="31"/>
  <c r="AX66" i="31"/>
  <c r="AX65" i="31"/>
  <c r="AX64" i="31"/>
  <c r="AX63" i="31"/>
  <c r="AX62" i="31"/>
  <c r="AX61" i="31"/>
  <c r="AX60" i="31"/>
  <c r="AX59" i="31"/>
  <c r="AX58" i="31"/>
  <c r="AX57" i="31"/>
  <c r="AX56" i="31"/>
  <c r="AX55" i="31"/>
  <c r="AX54" i="31"/>
  <c r="AX53" i="31"/>
  <c r="AX52" i="31"/>
  <c r="AX51" i="31"/>
  <c r="AX50" i="31"/>
  <c r="AX49" i="31"/>
  <c r="AX48" i="31"/>
  <c r="AX47" i="31"/>
  <c r="AX46" i="31"/>
  <c r="AX45" i="31"/>
  <c r="AX44" i="31"/>
  <c r="AX43" i="31"/>
  <c r="AX42" i="31"/>
  <c r="AX41" i="31"/>
  <c r="AX40" i="31"/>
  <c r="AX39" i="31"/>
  <c r="AX38" i="31"/>
  <c r="AX37" i="31"/>
  <c r="AX36" i="31"/>
  <c r="AX35" i="31"/>
  <c r="AX34" i="31"/>
  <c r="AX33" i="31"/>
  <c r="AX32" i="31"/>
  <c r="AX31" i="31"/>
  <c r="AX30" i="31"/>
  <c r="AX29" i="31"/>
  <c r="AX28" i="31"/>
  <c r="AX25" i="31"/>
  <c r="AX24" i="31"/>
  <c r="AX23" i="31"/>
  <c r="AX22" i="31"/>
  <c r="AX21" i="31"/>
  <c r="AX20" i="31"/>
  <c r="AX19" i="31"/>
  <c r="AX18" i="31"/>
  <c r="AX16" i="31"/>
  <c r="AX15" i="31"/>
  <c r="AX13" i="31"/>
  <c r="AX12" i="31"/>
  <c r="AX11" i="31"/>
  <c r="AX10" i="31"/>
  <c r="AX9" i="31"/>
  <c r="AX8" i="31"/>
  <c r="AX7" i="31"/>
  <c r="AX6" i="31"/>
  <c r="AX5" i="31"/>
  <c r="AX4" i="31"/>
  <c r="AX3" i="31"/>
  <c r="AS75" i="31"/>
  <c r="AV12" i="30"/>
  <c r="AZ11" i="30"/>
  <c r="AZ10" i="30"/>
  <c r="AZ9" i="30"/>
  <c r="AZ5" i="30"/>
  <c r="AZ4" i="30"/>
  <c r="AZ3" i="30"/>
  <c r="AM12" i="30"/>
  <c r="AN13" i="30" s="1"/>
  <c r="AR11" i="30"/>
  <c r="AR10" i="30"/>
  <c r="AR9" i="30"/>
  <c r="AR5" i="30"/>
  <c r="AR4" i="30"/>
  <c r="AR3" i="30"/>
  <c r="BA14" i="29"/>
  <c r="AR14" i="29"/>
  <c r="AS15" i="29" s="1"/>
  <c r="BE13" i="29"/>
  <c r="BE12" i="29"/>
  <c r="BE11" i="29"/>
  <c r="BE10" i="29"/>
  <c r="BE9" i="29"/>
  <c r="BE8" i="29"/>
  <c r="BE7" i="29"/>
  <c r="BE6" i="29"/>
  <c r="BE5" i="29"/>
  <c r="BE4" i="29"/>
  <c r="BE3" i="29"/>
  <c r="AW13" i="29"/>
  <c r="AW12" i="29"/>
  <c r="AW11" i="29"/>
  <c r="AW10" i="29"/>
  <c r="AW9" i="29"/>
  <c r="AW8" i="29"/>
  <c r="AW7" i="29"/>
  <c r="AW6" i="29"/>
  <c r="AW5" i="29"/>
  <c r="AW4" i="29"/>
  <c r="AW3" i="29"/>
  <c r="BB43" i="28"/>
  <c r="BB42" i="28"/>
  <c r="BB41" i="28"/>
  <c r="BB40" i="28"/>
  <c r="BB39" i="28"/>
  <c r="BB38" i="28"/>
  <c r="BB37" i="28"/>
  <c r="BB36" i="28"/>
  <c r="BB35" i="28"/>
  <c r="BB34" i="28"/>
  <c r="BB33" i="28"/>
  <c r="BB32" i="28"/>
  <c r="BB31" i="28"/>
  <c r="BB30" i="28"/>
  <c r="BB28" i="28"/>
  <c r="BB27" i="28"/>
  <c r="BB26" i="28"/>
  <c r="BB25" i="28"/>
  <c r="BB24" i="28"/>
  <c r="BB23" i="28"/>
  <c r="BB22" i="28"/>
  <c r="BB21" i="28"/>
  <c r="BB20" i="28"/>
  <c r="BB19" i="28"/>
  <c r="BB18" i="28"/>
  <c r="BB17" i="28"/>
  <c r="BB15" i="28"/>
  <c r="BB14" i="28"/>
  <c r="BB13" i="28"/>
  <c r="BB12" i="28"/>
  <c r="BB11" i="28"/>
  <c r="BB10" i="28"/>
  <c r="BB9" i="28"/>
  <c r="BB8" i="28"/>
  <c r="BB7" i="28"/>
  <c r="BB6" i="28"/>
  <c r="BB5" i="28"/>
  <c r="BB4" i="28"/>
  <c r="BB3" i="28"/>
  <c r="AT43" i="28"/>
  <c r="AT42" i="28"/>
  <c r="AT41" i="28"/>
  <c r="AT40" i="28"/>
  <c r="AT39" i="28"/>
  <c r="AT38" i="28"/>
  <c r="AT37" i="28"/>
  <c r="AT36" i="28"/>
  <c r="AT35" i="28"/>
  <c r="AT34" i="28"/>
  <c r="AT33" i="28"/>
  <c r="AT32" i="28"/>
  <c r="AT31" i="28"/>
  <c r="AT30" i="28"/>
  <c r="AT28" i="28"/>
  <c r="AT27" i="28"/>
  <c r="AT26" i="28"/>
  <c r="AT25" i="28"/>
  <c r="AT24" i="28"/>
  <c r="AT23" i="28"/>
  <c r="AT22" i="28"/>
  <c r="AT21" i="28"/>
  <c r="AT20" i="28"/>
  <c r="AT19" i="28"/>
  <c r="AT18" i="28"/>
  <c r="AT17" i="28"/>
  <c r="AT15" i="28"/>
  <c r="AT14" i="28"/>
  <c r="AT13" i="28"/>
  <c r="AT12" i="28"/>
  <c r="AT11" i="28"/>
  <c r="AT10" i="28"/>
  <c r="AT9" i="28"/>
  <c r="AT8" i="28"/>
  <c r="AT7" i="28"/>
  <c r="AT6" i="28"/>
  <c r="AT5" i="28"/>
  <c r="AT4" i="28"/>
  <c r="AT3" i="28"/>
  <c r="AX44" i="28"/>
  <c r="AO44" i="28"/>
  <c r="AP45" i="28" s="1"/>
  <c r="AZ29" i="27"/>
  <c r="AP29" i="27"/>
  <c r="BD28" i="27"/>
  <c r="BD27" i="27"/>
  <c r="BD26" i="27"/>
  <c r="BD25" i="27"/>
  <c r="BD24" i="27"/>
  <c r="BD23" i="27"/>
  <c r="BD22" i="27"/>
  <c r="BD21" i="27"/>
  <c r="BD20" i="27"/>
  <c r="BD19" i="27"/>
  <c r="BD18" i="27"/>
  <c r="BD17" i="27"/>
  <c r="BD16" i="27"/>
  <c r="BD14" i="27"/>
  <c r="BD13" i="27"/>
  <c r="BD11" i="27"/>
  <c r="BD10" i="27"/>
  <c r="BD9" i="27"/>
  <c r="BD8" i="27"/>
  <c r="BD7" i="27"/>
  <c r="BD6" i="27"/>
  <c r="BD5" i="27"/>
  <c r="BD4" i="27"/>
  <c r="BD3" i="27"/>
  <c r="AU28" i="27"/>
  <c r="AU27" i="27"/>
  <c r="AU26" i="27"/>
  <c r="AU25" i="27"/>
  <c r="AU24" i="27"/>
  <c r="AU23" i="27"/>
  <c r="AU22" i="27"/>
  <c r="AU21" i="27"/>
  <c r="AU20" i="27"/>
  <c r="AU19" i="27"/>
  <c r="AU18" i="27"/>
  <c r="AU17" i="27"/>
  <c r="AU16" i="27"/>
  <c r="AU14" i="27"/>
  <c r="AU13" i="27"/>
  <c r="AU11" i="27"/>
  <c r="AU10" i="27"/>
  <c r="AU9" i="27"/>
  <c r="AU8" i="27"/>
  <c r="AU7" i="27"/>
  <c r="AU6" i="27"/>
  <c r="AU5" i="27"/>
  <c r="AU4" i="27"/>
  <c r="AU3" i="27"/>
  <c r="Y5" i="29" l="1"/>
  <c r="Y4" i="29"/>
  <c r="AB3" i="27"/>
  <c r="AA25" i="27"/>
  <c r="AB25" i="27" s="1"/>
  <c r="AA19" i="27"/>
  <c r="AB19" i="27" s="1"/>
  <c r="AA10" i="27"/>
  <c r="AB10" i="27" s="1"/>
  <c r="AA4" i="27"/>
  <c r="AB4" i="27" s="1"/>
  <c r="AU31" i="27"/>
  <c r="AU30" i="27"/>
  <c r="AX7" i="27" s="1"/>
  <c r="BD30" i="27"/>
  <c r="BG10" i="27" s="1"/>
  <c r="BB76" i="31"/>
  <c r="AT76" i="31"/>
  <c r="AL50" i="32"/>
  <c r="AD50" i="32"/>
  <c r="J38" i="34"/>
  <c r="J35" i="34"/>
  <c r="J33" i="34"/>
  <c r="AR30" i="27"/>
  <c r="AR29" i="27"/>
  <c r="AO2" i="29"/>
  <c r="B2" i="33"/>
  <c r="AA29" i="27" l="1"/>
  <c r="AX8" i="27"/>
  <c r="AX13" i="27"/>
  <c r="W13" i="27" s="1"/>
  <c r="AX24" i="27"/>
  <c r="AX9" i="27"/>
  <c r="AX16" i="27"/>
  <c r="AX6" i="27"/>
  <c r="AX10" i="27"/>
  <c r="W10" i="27" s="1"/>
  <c r="AX25" i="27"/>
  <c r="W25" i="27" s="1"/>
  <c r="AX27" i="27"/>
  <c r="W27" i="27" s="1"/>
  <c r="AX18" i="27"/>
  <c r="AX19" i="27"/>
  <c r="AX4" i="27"/>
  <c r="AX3" i="27"/>
  <c r="AX21" i="27"/>
  <c r="W21" i="27" s="1"/>
  <c r="AX26" i="27"/>
  <c r="W26" i="27" s="1"/>
  <c r="AX11" i="27"/>
  <c r="W11" i="27" s="1"/>
  <c r="AX23" i="27"/>
  <c r="AX28" i="27"/>
  <c r="AX14" i="27"/>
  <c r="AX20" i="27"/>
  <c r="AX5" i="27"/>
  <c r="AX17" i="27"/>
  <c r="W17" i="27" s="1"/>
  <c r="AX22" i="27"/>
  <c r="BG25" i="27"/>
  <c r="BG4" i="27"/>
  <c r="BG3" i="27"/>
  <c r="BG5" i="27"/>
  <c r="BG8" i="27"/>
  <c r="BG21" i="27"/>
  <c r="BG27" i="27"/>
  <c r="BG11" i="27"/>
  <c r="BG23" i="27"/>
  <c r="BG14" i="27"/>
  <c r="BG22" i="27"/>
  <c r="BG26" i="27"/>
  <c r="BG19" i="27"/>
  <c r="BG13" i="27"/>
  <c r="BG20" i="27"/>
  <c r="BG16" i="27"/>
  <c r="BG6" i="27"/>
  <c r="BG17" i="27"/>
  <c r="BG7" i="27"/>
  <c r="W7" i="27" s="1"/>
  <c r="BG28" i="27"/>
  <c r="BG18" i="27"/>
  <c r="BG24" i="27"/>
  <c r="BG9" i="27"/>
  <c r="AI26" i="28"/>
  <c r="AI22" i="28"/>
  <c r="AI21" i="28"/>
  <c r="AI20" i="28"/>
  <c r="AI17" i="28"/>
  <c r="AI10" i="28"/>
  <c r="AI11" i="28"/>
  <c r="AI34" i="28"/>
  <c r="AI33" i="28"/>
  <c r="J40" i="34"/>
  <c r="G12" i="33"/>
  <c r="J11" i="33" s="1"/>
  <c r="C12" i="33"/>
  <c r="E11" i="33" s="1"/>
  <c r="C2" i="33"/>
  <c r="G2" i="33" s="1"/>
  <c r="W5" i="27" l="1"/>
  <c r="W24" i="27"/>
  <c r="W20" i="27"/>
  <c r="W14" i="27"/>
  <c r="W3" i="27"/>
  <c r="W8" i="27"/>
  <c r="W28" i="27"/>
  <c r="W4" i="27"/>
  <c r="W6" i="27"/>
  <c r="W22" i="27"/>
  <c r="W23" i="27"/>
  <c r="W19" i="27"/>
  <c r="W16" i="27"/>
  <c r="W18" i="27"/>
  <c r="W9" i="27"/>
  <c r="B4" i="33"/>
  <c r="O15" i="33"/>
  <c r="O14" i="33"/>
  <c r="M11" i="33"/>
  <c r="J6" i="33"/>
  <c r="E7" i="33"/>
  <c r="E8" i="33"/>
  <c r="E9" i="33"/>
  <c r="E6" i="33"/>
  <c r="J9" i="33"/>
  <c r="E10" i="33"/>
  <c r="J7" i="33"/>
  <c r="J10" i="33"/>
  <c r="J8" i="33"/>
  <c r="P8" i="33" l="1"/>
  <c r="P11" i="33"/>
  <c r="P7" i="33"/>
  <c r="P9" i="33"/>
  <c r="P10" i="33"/>
  <c r="P6" i="33"/>
  <c r="P12" i="33" s="1"/>
  <c r="O11" i="33"/>
  <c r="AF19" i="27"/>
  <c r="AN2" i="27"/>
  <c r="AF3" i="27"/>
  <c r="AF4" i="27"/>
  <c r="M8" i="33"/>
  <c r="O8" i="33" s="1"/>
  <c r="M9" i="33"/>
  <c r="O9" i="33" s="1"/>
  <c r="E12" i="33"/>
  <c r="M7" i="33"/>
  <c r="O7" i="33" s="1"/>
  <c r="M10" i="33"/>
  <c r="O10" i="33" s="1"/>
  <c r="M6" i="33"/>
  <c r="O6" i="33" s="1"/>
  <c r="J12" i="33"/>
  <c r="AF25" i="27" l="1"/>
  <c r="AF10" i="27"/>
  <c r="M12" i="33"/>
  <c r="O12" i="33"/>
  <c r="AM58" i="31"/>
  <c r="E11" i="34"/>
  <c r="F11" i="34" s="1"/>
  <c r="E9" i="34"/>
  <c r="F9" i="34" s="1"/>
  <c r="E3" i="34"/>
  <c r="F3" i="34" s="1"/>
  <c r="P45" i="32"/>
  <c r="P37" i="32"/>
  <c r="P36" i="32"/>
  <c r="P35" i="32"/>
  <c r="P28" i="32"/>
  <c r="P34" i="32"/>
  <c r="P3" i="32"/>
  <c r="P4" i="32"/>
  <c r="F12" i="34" l="1"/>
  <c r="I3" i="34" s="1"/>
  <c r="G11" i="34" s="1"/>
  <c r="E12" i="34"/>
  <c r="G9" i="34"/>
  <c r="AL5" i="31"/>
  <c r="AM63" i="31"/>
  <c r="AM57" i="31"/>
  <c r="AL9" i="31" s="1"/>
  <c r="AM50" i="31"/>
  <c r="AM43" i="31"/>
  <c r="AM37" i="31"/>
  <c r="AM35" i="31"/>
  <c r="AM31" i="31"/>
  <c r="AM29" i="31"/>
  <c r="AM28" i="31"/>
  <c r="AM25" i="31"/>
  <c r="AM19" i="31"/>
  <c r="AM12" i="31"/>
  <c r="AM10" i="31"/>
  <c r="AM9" i="31"/>
  <c r="AM6" i="31"/>
  <c r="AM5" i="31"/>
  <c r="AL6" i="31"/>
  <c r="AL10" i="31"/>
  <c r="AL12" i="31"/>
  <c r="G3" i="34" l="1"/>
  <c r="G12" i="34" s="1"/>
  <c r="AD9" i="30" l="1"/>
  <c r="AD4" i="30"/>
  <c r="AE4" i="29"/>
  <c r="AF8" i="29"/>
  <c r="S8" i="30"/>
  <c r="S7" i="30"/>
  <c r="S6" i="30"/>
  <c r="L12" i="30"/>
  <c r="F12" i="30"/>
  <c r="AE5" i="29"/>
  <c r="AE3" i="29"/>
  <c r="K14" i="29"/>
  <c r="E14" i="29"/>
  <c r="AH25" i="28"/>
  <c r="R44" i="28"/>
  <c r="O46" i="28"/>
  <c r="L44" i="28"/>
  <c r="V15" i="27"/>
  <c r="V12" i="27"/>
  <c r="U15" i="27"/>
  <c r="U12" i="27"/>
  <c r="O29" i="27"/>
  <c r="I29" i="27"/>
  <c r="AI44" i="28" l="1"/>
  <c r="AE14" i="29"/>
  <c r="AF29" i="27"/>
  <c r="AB9" i="30"/>
  <c r="AB4" i="30"/>
  <c r="AF5" i="29"/>
  <c r="AF3" i="29"/>
  <c r="AH34" i="28"/>
  <c r="AH26" i="28"/>
  <c r="AH22" i="28"/>
  <c r="AH21" i="28"/>
  <c r="AH20" i="28"/>
  <c r="AH17" i="28"/>
  <c r="AH11" i="28"/>
  <c r="AH10" i="28"/>
  <c r="AH3" i="28"/>
  <c r="AD25" i="27"/>
  <c r="AD19" i="27"/>
  <c r="AD10" i="27"/>
  <c r="AD7" i="27"/>
  <c r="AD4" i="27"/>
  <c r="AD3" i="27"/>
  <c r="AL63" i="31"/>
  <c r="AL57" i="31"/>
  <c r="AL51" i="31"/>
  <c r="AL50" i="31"/>
  <c r="AL43" i="31"/>
  <c r="AL35" i="31"/>
  <c r="AL31" i="31"/>
  <c r="AL25" i="31"/>
  <c r="AL21" i="31"/>
  <c r="AL19" i="31"/>
  <c r="R49" i="32"/>
  <c r="F49" i="32"/>
  <c r="E49" i="32"/>
  <c r="D49" i="32"/>
  <c r="C48" i="32"/>
  <c r="C47" i="32"/>
  <c r="C46" i="32"/>
  <c r="S44" i="32"/>
  <c r="C43" i="32"/>
  <c r="C42" i="32"/>
  <c r="C41" i="32"/>
  <c r="C40" i="32"/>
  <c r="S39" i="32"/>
  <c r="C39" i="32"/>
  <c r="C38" i="32"/>
  <c r="C37" i="32"/>
  <c r="C36" i="32"/>
  <c r="S35" i="32"/>
  <c r="S33" i="32"/>
  <c r="S31" i="32"/>
  <c r="C30" i="32"/>
  <c r="C29" i="32"/>
  <c r="C28" i="32"/>
  <c r="C27" i="32"/>
  <c r="M28" i="32" s="1"/>
  <c r="C26" i="32"/>
  <c r="S24" i="32"/>
  <c r="C24" i="32"/>
  <c r="S21" i="32"/>
  <c r="S20" i="32"/>
  <c r="C20" i="32"/>
  <c r="S19" i="32"/>
  <c r="C19" i="32"/>
  <c r="C18" i="32"/>
  <c r="C17" i="32"/>
  <c r="C16" i="32"/>
  <c r="C15" i="32"/>
  <c r="C14" i="32"/>
  <c r="S12" i="32"/>
  <c r="C12" i="32"/>
  <c r="C11" i="32"/>
  <c r="C10" i="32"/>
  <c r="C9" i="32"/>
  <c r="C8" i="32"/>
  <c r="C7" i="32"/>
  <c r="C6" i="32"/>
  <c r="C5" i="32"/>
  <c r="C4" i="32"/>
  <c r="C3" i="32"/>
  <c r="AL75" i="31" l="1"/>
  <c r="M35" i="32"/>
  <c r="M37" i="32"/>
  <c r="M45" i="32"/>
  <c r="M3" i="32"/>
  <c r="P49" i="32"/>
  <c r="M36" i="32"/>
  <c r="AH44" i="28"/>
  <c r="AD29" i="27"/>
  <c r="AF14" i="29"/>
  <c r="M4" i="32"/>
  <c r="S49" i="32"/>
  <c r="C49" i="32"/>
  <c r="S50" i="32"/>
  <c r="T39" i="32" s="1"/>
  <c r="Q39" i="32" s="1"/>
  <c r="M50" i="32" l="1"/>
  <c r="Z6" i="32" s="1"/>
  <c r="I28" i="32" s="1"/>
  <c r="T31" i="32"/>
  <c r="T44" i="32"/>
  <c r="Q44" i="32" s="1"/>
  <c r="T12" i="32"/>
  <c r="Q12" i="32" s="1"/>
  <c r="T35" i="32"/>
  <c r="T21" i="32"/>
  <c r="T19" i="32"/>
  <c r="Q19" i="32" s="1"/>
  <c r="T24" i="32"/>
  <c r="Q24" i="32" s="1"/>
  <c r="T20" i="32"/>
  <c r="T33" i="32"/>
  <c r="Q33" i="32" s="1"/>
  <c r="I36" i="32" l="1"/>
  <c r="I37" i="32"/>
  <c r="I34" i="32"/>
  <c r="I45" i="32"/>
  <c r="I4" i="32"/>
  <c r="I3" i="32"/>
  <c r="I35" i="32"/>
  <c r="Q21" i="32"/>
  <c r="W21" i="32" s="1"/>
  <c r="V21" i="32" s="1"/>
  <c r="W12" i="32"/>
  <c r="V12" i="32" s="1"/>
  <c r="Q35" i="32"/>
  <c r="Q31" i="32"/>
  <c r="Q20" i="32"/>
  <c r="W20" i="32" s="1"/>
  <c r="V20" i="32" s="1"/>
  <c r="T49" i="32"/>
  <c r="N26" i="32" l="1"/>
  <c r="J26" i="32" s="1"/>
  <c r="I49" i="32"/>
  <c r="N45" i="32"/>
  <c r="J45" i="32" s="1"/>
  <c r="N47" i="32"/>
  <c r="J47" i="32" s="1"/>
  <c r="N42" i="32"/>
  <c r="J42" i="32" s="1"/>
  <c r="N4" i="32"/>
  <c r="J4" i="32" s="1"/>
  <c r="V50" i="32"/>
  <c r="U21" i="32" s="1"/>
  <c r="Q49" i="32"/>
  <c r="N37" i="32"/>
  <c r="J37" i="32" s="1"/>
  <c r="N31" i="32"/>
  <c r="J31" i="32" s="1"/>
  <c r="N36" i="32"/>
  <c r="J36" i="32" s="1"/>
  <c r="N49" i="32" l="1"/>
  <c r="U20" i="32"/>
  <c r="J50" i="32"/>
  <c r="U12" i="32"/>
  <c r="R8" i="30" l="1"/>
  <c r="R7" i="30"/>
  <c r="R6" i="30"/>
  <c r="M12" i="30"/>
  <c r="G12" i="30"/>
  <c r="L14" i="29"/>
  <c r="F14" i="29"/>
  <c r="P36" i="28" l="1"/>
  <c r="S44" i="28"/>
  <c r="M44" i="28"/>
  <c r="U75" i="31"/>
  <c r="O75" i="31"/>
  <c r="L75" i="31"/>
  <c r="C36" i="31"/>
  <c r="P36" i="31" s="1"/>
  <c r="C35" i="31"/>
  <c r="C30" i="31"/>
  <c r="I75" i="31"/>
  <c r="C43" i="28"/>
  <c r="T43" i="28" s="1"/>
  <c r="C42" i="28"/>
  <c r="T42" i="28" s="1"/>
  <c r="C41" i="28"/>
  <c r="T41" i="28" s="1"/>
  <c r="C40" i="28"/>
  <c r="T40" i="28" s="1"/>
  <c r="C39" i="28"/>
  <c r="T39" i="28" s="1"/>
  <c r="C38" i="28"/>
  <c r="T38" i="28" s="1"/>
  <c r="C37" i="28"/>
  <c r="T37" i="28" s="1"/>
  <c r="C36" i="28"/>
  <c r="T36" i="28" s="1"/>
  <c r="C35" i="28"/>
  <c r="T35" i="28" s="1"/>
  <c r="C34" i="28"/>
  <c r="AG34" i="28" s="1"/>
  <c r="C33" i="28"/>
  <c r="C32" i="28"/>
  <c r="T32" i="28" s="1"/>
  <c r="C31" i="28"/>
  <c r="T31" i="28" s="1"/>
  <c r="C30" i="28"/>
  <c r="T30" i="28" s="1"/>
  <c r="C29" i="28"/>
  <c r="T29" i="28" s="1"/>
  <c r="C28" i="28"/>
  <c r="T28" i="28" s="1"/>
  <c r="C27" i="28"/>
  <c r="T27" i="28" s="1"/>
  <c r="C26" i="28"/>
  <c r="AG26" i="28" s="1"/>
  <c r="C25" i="28"/>
  <c r="C24" i="28"/>
  <c r="T24" i="28" s="1"/>
  <c r="C23" i="28"/>
  <c r="T23" i="28" s="1"/>
  <c r="C22" i="28"/>
  <c r="C21" i="28"/>
  <c r="AG21" i="28" s="1"/>
  <c r="C20" i="28"/>
  <c r="AG20" i="28" s="1"/>
  <c r="C19" i="28"/>
  <c r="T19" i="28" s="1"/>
  <c r="C18" i="28"/>
  <c r="T18" i="28" s="1"/>
  <c r="C17" i="28"/>
  <c r="C16" i="28"/>
  <c r="T16" i="28" s="1"/>
  <c r="C15" i="28"/>
  <c r="T15" i="28" s="1"/>
  <c r="C14" i="28"/>
  <c r="T14" i="28" s="1"/>
  <c r="C13" i="28"/>
  <c r="T13" i="28" s="1"/>
  <c r="C12" i="28"/>
  <c r="T12" i="28" s="1"/>
  <c r="C11" i="28"/>
  <c r="C10" i="28"/>
  <c r="AG10" i="28" s="1"/>
  <c r="C9" i="28"/>
  <c r="T9" i="28" s="1"/>
  <c r="C8" i="28"/>
  <c r="T8" i="28" s="1"/>
  <c r="C7" i="28"/>
  <c r="T7" i="28" s="1"/>
  <c r="C6" i="28"/>
  <c r="T6" i="28" s="1"/>
  <c r="C5" i="28"/>
  <c r="T5" i="28" s="1"/>
  <c r="C4" i="28"/>
  <c r="K44" i="28"/>
  <c r="C3" i="28"/>
  <c r="C3" i="31"/>
  <c r="P3" i="31" s="1"/>
  <c r="C4" i="31"/>
  <c r="P4" i="31" s="1"/>
  <c r="C5" i="31"/>
  <c r="C6" i="31"/>
  <c r="C7" i="31"/>
  <c r="P7" i="31" s="1"/>
  <c r="C8" i="31"/>
  <c r="C9" i="31"/>
  <c r="C10" i="31"/>
  <c r="C11" i="31"/>
  <c r="P11" i="31" s="1"/>
  <c r="C12" i="31"/>
  <c r="C13" i="31"/>
  <c r="V13" i="31" s="1"/>
  <c r="C14" i="31"/>
  <c r="P14" i="31" s="1"/>
  <c r="C15" i="31"/>
  <c r="P15" i="31" s="1"/>
  <c r="C16" i="31"/>
  <c r="P16" i="31" s="1"/>
  <c r="C17" i="31"/>
  <c r="P17" i="31" s="1"/>
  <c r="C18" i="31"/>
  <c r="V18" i="31" s="1"/>
  <c r="C19" i="31"/>
  <c r="C20" i="31"/>
  <c r="P20" i="31" s="1"/>
  <c r="C21" i="31"/>
  <c r="AE21" i="31" s="1"/>
  <c r="C22" i="31"/>
  <c r="V22" i="31" s="1"/>
  <c r="C23" i="31"/>
  <c r="C24" i="31"/>
  <c r="V24" i="31" s="1"/>
  <c r="C25" i="31"/>
  <c r="C26" i="31"/>
  <c r="V26" i="31" s="1"/>
  <c r="C27" i="31"/>
  <c r="P27" i="31" s="1"/>
  <c r="C28" i="31"/>
  <c r="C29" i="31"/>
  <c r="V29" i="31" s="1"/>
  <c r="C31" i="31"/>
  <c r="C32" i="31"/>
  <c r="V32" i="31" s="1"/>
  <c r="C33" i="31"/>
  <c r="V33" i="31" s="1"/>
  <c r="C34" i="31"/>
  <c r="V34" i="31" s="1"/>
  <c r="C37" i="31"/>
  <c r="C38" i="31"/>
  <c r="V38" i="31" s="1"/>
  <c r="C39" i="31"/>
  <c r="V39" i="31" s="1"/>
  <c r="C40" i="31"/>
  <c r="M40" i="31" s="1"/>
  <c r="C41" i="31"/>
  <c r="C42" i="31"/>
  <c r="P42" i="31" s="1"/>
  <c r="C43" i="31"/>
  <c r="C44" i="31"/>
  <c r="V44" i="31" s="1"/>
  <c r="C45" i="31"/>
  <c r="P45" i="31" s="1"/>
  <c r="C46" i="31"/>
  <c r="P46" i="31" s="1"/>
  <c r="C47" i="31"/>
  <c r="P47" i="31" s="1"/>
  <c r="C48" i="31"/>
  <c r="V48" i="31" s="1"/>
  <c r="C49" i="31"/>
  <c r="V49" i="31" s="1"/>
  <c r="C50" i="31"/>
  <c r="C51" i="31"/>
  <c r="AE51" i="31" s="1"/>
  <c r="C52" i="31"/>
  <c r="V52" i="31" s="1"/>
  <c r="C53" i="31"/>
  <c r="V53" i="31" s="1"/>
  <c r="C54" i="31"/>
  <c r="V54" i="31" s="1"/>
  <c r="C55" i="31"/>
  <c r="V55" i="31" s="1"/>
  <c r="C56" i="31"/>
  <c r="V56" i="31" s="1"/>
  <c r="C57" i="31"/>
  <c r="C58" i="31"/>
  <c r="C59" i="31"/>
  <c r="V59" i="31" s="1"/>
  <c r="C60" i="31"/>
  <c r="V60" i="31" s="1"/>
  <c r="C61" i="31"/>
  <c r="V61" i="31" s="1"/>
  <c r="C62" i="31"/>
  <c r="V62" i="31" s="1"/>
  <c r="C63" i="31"/>
  <c r="C64" i="31"/>
  <c r="V64" i="31" s="1"/>
  <c r="C65" i="31"/>
  <c r="V65" i="31" s="1"/>
  <c r="C66" i="31"/>
  <c r="V66" i="31" s="1"/>
  <c r="C67" i="31"/>
  <c r="V67" i="31" s="1"/>
  <c r="C68" i="31"/>
  <c r="V68" i="31" s="1"/>
  <c r="C69" i="31"/>
  <c r="V69" i="31" s="1"/>
  <c r="C70" i="31"/>
  <c r="V70" i="31" s="1"/>
  <c r="C71" i="31"/>
  <c r="V71" i="31" s="1"/>
  <c r="C72" i="31"/>
  <c r="V72" i="31" s="1"/>
  <c r="C73" i="31"/>
  <c r="V73" i="31" s="1"/>
  <c r="C74" i="31"/>
  <c r="D75" i="31"/>
  <c r="E75" i="31"/>
  <c r="F75" i="31"/>
  <c r="G75" i="31"/>
  <c r="H75" i="31"/>
  <c r="J75" i="31"/>
  <c r="L31" i="27"/>
  <c r="M24" i="27" s="1"/>
  <c r="P29" i="27"/>
  <c r="J29" i="27"/>
  <c r="T22" i="28" l="1"/>
  <c r="AG22" i="28"/>
  <c r="T11" i="28"/>
  <c r="AG11" i="28"/>
  <c r="T33" i="28"/>
  <c r="AG33" i="28"/>
  <c r="T4" i="28"/>
  <c r="T17" i="28"/>
  <c r="AG17" i="28"/>
  <c r="V58" i="31"/>
  <c r="AH58" i="31"/>
  <c r="AH50" i="31"/>
  <c r="AE50" i="31"/>
  <c r="AH57" i="31"/>
  <c r="AE57" i="31"/>
  <c r="AH31" i="31"/>
  <c r="AE31" i="31"/>
  <c r="AH6" i="31"/>
  <c r="AE6" i="31"/>
  <c r="AH35" i="31"/>
  <c r="AE35" i="31"/>
  <c r="AH5" i="31"/>
  <c r="AD5" i="31"/>
  <c r="AE5" i="31"/>
  <c r="AH43" i="31"/>
  <c r="AE43" i="31"/>
  <c r="AD74" i="31"/>
  <c r="AH63" i="31"/>
  <c r="AE63" i="31"/>
  <c r="AH12" i="31"/>
  <c r="AE12" i="31"/>
  <c r="AH19" i="31"/>
  <c r="AE19" i="31"/>
  <c r="V16" i="31"/>
  <c r="AH10" i="31"/>
  <c r="AE10" i="31"/>
  <c r="AH25" i="31"/>
  <c r="AE25" i="31"/>
  <c r="AH9" i="31"/>
  <c r="AE9" i="31"/>
  <c r="P28" i="31"/>
  <c r="AH28" i="31"/>
  <c r="P29" i="31"/>
  <c r="AH29" i="31"/>
  <c r="V37" i="31"/>
  <c r="AH37" i="31"/>
  <c r="V41" i="31"/>
  <c r="P8" i="31"/>
  <c r="V17" i="31"/>
  <c r="P23" i="31"/>
  <c r="V30" i="31"/>
  <c r="V27" i="31"/>
  <c r="V28" i="31"/>
  <c r="V50" i="31"/>
  <c r="M35" i="31"/>
  <c r="P21" i="31"/>
  <c r="V36" i="31"/>
  <c r="V57" i="31"/>
  <c r="V31" i="31"/>
  <c r="P6" i="31"/>
  <c r="V23" i="31"/>
  <c r="V14" i="31"/>
  <c r="V63" i="31"/>
  <c r="P12" i="31"/>
  <c r="V40" i="31"/>
  <c r="V19" i="31"/>
  <c r="P5" i="31"/>
  <c r="P10" i="31"/>
  <c r="P40" i="31"/>
  <c r="V74" i="31"/>
  <c r="V15" i="31"/>
  <c r="V25" i="31"/>
  <c r="P9" i="31"/>
  <c r="P48" i="31"/>
  <c r="V51" i="31"/>
  <c r="P43" i="31"/>
  <c r="N25" i="28"/>
  <c r="T25" i="28"/>
  <c r="N20" i="28"/>
  <c r="T20" i="28"/>
  <c r="N21" i="28"/>
  <c r="T21" i="28"/>
  <c r="N3" i="28"/>
  <c r="T3" i="28"/>
  <c r="N10" i="28"/>
  <c r="T10" i="28"/>
  <c r="N26" i="28"/>
  <c r="T26" i="28"/>
  <c r="N34" i="28"/>
  <c r="T34" i="28"/>
  <c r="U5" i="28"/>
  <c r="N5" i="28"/>
  <c r="U13" i="28"/>
  <c r="N13" i="28"/>
  <c r="U29" i="28"/>
  <c r="N29" i="28"/>
  <c r="U37" i="28"/>
  <c r="N37" i="28"/>
  <c r="N6" i="28"/>
  <c r="N14" i="28"/>
  <c r="U22" i="28"/>
  <c r="N22" i="28"/>
  <c r="N30" i="28"/>
  <c r="N38" i="28"/>
  <c r="U12" i="28"/>
  <c r="N12" i="28"/>
  <c r="U7" i="28"/>
  <c r="N7" i="28"/>
  <c r="U15" i="28"/>
  <c r="N15" i="28"/>
  <c r="U23" i="28"/>
  <c r="N23" i="28"/>
  <c r="U31" i="28"/>
  <c r="N31" i="28"/>
  <c r="N39" i="28"/>
  <c r="U4" i="28"/>
  <c r="N4" i="28"/>
  <c r="U8" i="28"/>
  <c r="N8" i="28"/>
  <c r="N16" i="28"/>
  <c r="U24" i="28"/>
  <c r="N24" i="28"/>
  <c r="U32" i="28"/>
  <c r="N32" i="28"/>
  <c r="U40" i="28"/>
  <c r="N40" i="28"/>
  <c r="U36" i="28"/>
  <c r="N36" i="28"/>
  <c r="U9" i="28"/>
  <c r="N9" i="28"/>
  <c r="AE17" i="28"/>
  <c r="N17" i="28"/>
  <c r="U33" i="28"/>
  <c r="N33" i="28"/>
  <c r="U41" i="28"/>
  <c r="N41" i="28"/>
  <c r="U18" i="28"/>
  <c r="N18" i="28"/>
  <c r="U42" i="28"/>
  <c r="N42" i="28"/>
  <c r="U28" i="28"/>
  <c r="N28" i="28"/>
  <c r="AE11" i="28"/>
  <c r="N11" i="28"/>
  <c r="U19" i="28"/>
  <c r="N19" i="28"/>
  <c r="U27" i="28"/>
  <c r="N27" i="28"/>
  <c r="N35" i="28"/>
  <c r="N43" i="28"/>
  <c r="M28" i="27"/>
  <c r="M7" i="27"/>
  <c r="M17" i="27"/>
  <c r="M9" i="27"/>
  <c r="M10" i="27"/>
  <c r="U20" i="28"/>
  <c r="AE20" i="28"/>
  <c r="U21" i="28"/>
  <c r="AE21" i="28"/>
  <c r="AE22" i="28"/>
  <c r="U16" i="28"/>
  <c r="U25" i="28"/>
  <c r="AE25" i="28"/>
  <c r="U39" i="28"/>
  <c r="U10" i="28"/>
  <c r="AE10" i="28"/>
  <c r="U26" i="28"/>
  <c r="AE26" i="28"/>
  <c r="U34" i="28"/>
  <c r="AE34" i="28"/>
  <c r="M19" i="27"/>
  <c r="P13" i="31"/>
  <c r="P52" i="31"/>
  <c r="M25" i="27"/>
  <c r="U6" i="28"/>
  <c r="P32" i="31"/>
  <c r="V43" i="31"/>
  <c r="U30" i="28"/>
  <c r="P9" i="28"/>
  <c r="P33" i="31"/>
  <c r="P17" i="28"/>
  <c r="P44" i="31"/>
  <c r="M50" i="31"/>
  <c r="V12" i="31"/>
  <c r="U14" i="28"/>
  <c r="P25" i="28"/>
  <c r="U38" i="28"/>
  <c r="P41" i="28"/>
  <c r="P18" i="28"/>
  <c r="P34" i="28"/>
  <c r="P5" i="28"/>
  <c r="P13" i="28"/>
  <c r="P21" i="28"/>
  <c r="P29" i="28"/>
  <c r="P37" i="28"/>
  <c r="P6" i="28"/>
  <c r="P14" i="28"/>
  <c r="P22" i="28"/>
  <c r="P30" i="28"/>
  <c r="P38" i="28"/>
  <c r="P26" i="28"/>
  <c r="P7" i="28"/>
  <c r="P15" i="28"/>
  <c r="P23" i="28"/>
  <c r="P31" i="28"/>
  <c r="P39" i="28"/>
  <c r="P8" i="28"/>
  <c r="P16" i="28"/>
  <c r="P24" i="28"/>
  <c r="P32" i="28"/>
  <c r="P40" i="28"/>
  <c r="P33" i="28"/>
  <c r="P10" i="28"/>
  <c r="P42" i="28"/>
  <c r="P3" i="28"/>
  <c r="P11" i="28"/>
  <c r="P19" i="28"/>
  <c r="P27" i="28"/>
  <c r="P35" i="28"/>
  <c r="P43" i="28"/>
  <c r="P4" i="28"/>
  <c r="P12" i="28"/>
  <c r="P20" i="28"/>
  <c r="P28" i="28"/>
  <c r="U17" i="28"/>
  <c r="U3" i="28"/>
  <c r="U11" i="28"/>
  <c r="U35" i="28"/>
  <c r="U43" i="28"/>
  <c r="M20" i="27"/>
  <c r="M27" i="27"/>
  <c r="P22" i="31"/>
  <c r="P18" i="31"/>
  <c r="P41" i="31"/>
  <c r="P49" i="31"/>
  <c r="V21" i="31"/>
  <c r="V42" i="31"/>
  <c r="V46" i="31"/>
  <c r="P19" i="31"/>
  <c r="P34" i="31"/>
  <c r="P50" i="31"/>
  <c r="P24" i="31"/>
  <c r="V20" i="31"/>
  <c r="V47" i="31"/>
  <c r="C75" i="31"/>
  <c r="V75" i="31" s="1"/>
  <c r="P35" i="31"/>
  <c r="P51" i="31"/>
  <c r="P25" i="31"/>
  <c r="V35" i="31"/>
  <c r="V45" i="31"/>
  <c r="M30" i="31"/>
  <c r="P26" i="31"/>
  <c r="P37" i="31"/>
  <c r="P53" i="31"/>
  <c r="M38" i="31"/>
  <c r="P30" i="31"/>
  <c r="P38" i="31"/>
  <c r="P54" i="31"/>
  <c r="M39" i="31"/>
  <c r="P31" i="31"/>
  <c r="P39" i="31"/>
  <c r="M8" i="27"/>
  <c r="M18" i="27"/>
  <c r="M26" i="27"/>
  <c r="M11" i="27"/>
  <c r="M21" i="27"/>
  <c r="M4" i="27"/>
  <c r="M13" i="27"/>
  <c r="M22" i="27"/>
  <c r="M3" i="27"/>
  <c r="M5" i="27"/>
  <c r="M14" i="27"/>
  <c r="M23" i="27"/>
  <c r="M6" i="27"/>
  <c r="M16" i="27"/>
  <c r="E12" i="30"/>
  <c r="D12" i="30"/>
  <c r="C3" i="30"/>
  <c r="N3" i="30" s="1"/>
  <c r="C11" i="30"/>
  <c r="N11" i="30" s="1"/>
  <c r="C10" i="30"/>
  <c r="N10" i="30" s="1"/>
  <c r="C9" i="30"/>
  <c r="C8" i="30"/>
  <c r="C7" i="30"/>
  <c r="C6" i="30"/>
  <c r="C5" i="30"/>
  <c r="N5" i="30" s="1"/>
  <c r="C4" i="30"/>
  <c r="C28" i="27"/>
  <c r="C27" i="27"/>
  <c r="C26" i="27"/>
  <c r="C25" i="27"/>
  <c r="AC25" i="27" s="1"/>
  <c r="C24" i="27"/>
  <c r="C23" i="27"/>
  <c r="C22" i="27"/>
  <c r="C21" i="27"/>
  <c r="C20" i="27"/>
  <c r="C19" i="27"/>
  <c r="AC19" i="27" s="1"/>
  <c r="C18" i="27"/>
  <c r="C17" i="27"/>
  <c r="C16" i="27"/>
  <c r="C15" i="27"/>
  <c r="C14" i="27"/>
  <c r="C13" i="27"/>
  <c r="C12" i="27"/>
  <c r="K12" i="27" s="1"/>
  <c r="C11" i="27"/>
  <c r="C10" i="27"/>
  <c r="AC10" i="27" s="1"/>
  <c r="C9" i="27"/>
  <c r="C8" i="27"/>
  <c r="C7" i="27"/>
  <c r="Q7" i="27" s="1"/>
  <c r="C6" i="27"/>
  <c r="C5" i="27"/>
  <c r="C4" i="27"/>
  <c r="AC4" i="27" s="1"/>
  <c r="C3" i="27"/>
  <c r="AC3" i="27" s="1"/>
  <c r="C5" i="29"/>
  <c r="C4" i="29"/>
  <c r="C3" i="29"/>
  <c r="D14" i="29"/>
  <c r="C10" i="29"/>
  <c r="M10" i="29" s="1"/>
  <c r="C9" i="29"/>
  <c r="M9" i="29" s="1"/>
  <c r="C8" i="29"/>
  <c r="M8" i="29" s="1"/>
  <c r="C6" i="29"/>
  <c r="M6" i="29" s="1"/>
  <c r="C13" i="29"/>
  <c r="M13" i="29" s="1"/>
  <c r="C12" i="29"/>
  <c r="M12" i="29" s="1"/>
  <c r="C11" i="29"/>
  <c r="M11" i="29" s="1"/>
  <c r="C7" i="29"/>
  <c r="M7" i="29" s="1"/>
  <c r="J44" i="28"/>
  <c r="I44" i="28"/>
  <c r="H44" i="28"/>
  <c r="G44" i="28"/>
  <c r="F44" i="28"/>
  <c r="E44" i="28"/>
  <c r="D44" i="28"/>
  <c r="H29" i="27"/>
  <c r="G29" i="27"/>
  <c r="F29" i="27"/>
  <c r="E29" i="27"/>
  <c r="D29" i="27"/>
  <c r="M5" i="29" l="1"/>
  <c r="AB5" i="29"/>
  <c r="AC29" i="27"/>
  <c r="AK5" i="27" s="1"/>
  <c r="Z4" i="27" s="1"/>
  <c r="N4" i="30"/>
  <c r="AA4" i="30"/>
  <c r="AG44" i="28"/>
  <c r="M3" i="29"/>
  <c r="M15" i="29" s="1"/>
  <c r="AB3" i="29"/>
  <c r="N9" i="30"/>
  <c r="AA9" i="30"/>
  <c r="M4" i="29"/>
  <c r="AB4" i="29"/>
  <c r="AH75" i="31"/>
  <c r="AM3" i="31" s="1"/>
  <c r="AM75" i="31" s="1"/>
  <c r="X4" i="30"/>
  <c r="I4" i="30"/>
  <c r="H4" i="30"/>
  <c r="I3" i="30"/>
  <c r="H3" i="30"/>
  <c r="H11" i="30"/>
  <c r="I11" i="30"/>
  <c r="I5" i="30"/>
  <c r="H5" i="30"/>
  <c r="I10" i="30"/>
  <c r="H10" i="30"/>
  <c r="X9" i="30"/>
  <c r="I9" i="30"/>
  <c r="H9" i="30"/>
  <c r="H9" i="29"/>
  <c r="G9" i="29"/>
  <c r="H10" i="29"/>
  <c r="G10" i="29"/>
  <c r="H11" i="29"/>
  <c r="G11" i="29"/>
  <c r="X3" i="29"/>
  <c r="H3" i="29"/>
  <c r="G3" i="29"/>
  <c r="X8" i="29"/>
  <c r="H8" i="29"/>
  <c r="G8" i="29"/>
  <c r="G7" i="29"/>
  <c r="H7" i="29"/>
  <c r="H4" i="29"/>
  <c r="G4" i="29"/>
  <c r="H12" i="29"/>
  <c r="G12" i="29"/>
  <c r="G13" i="29"/>
  <c r="H13" i="29"/>
  <c r="X5" i="29"/>
  <c r="G5" i="29"/>
  <c r="H5" i="29"/>
  <c r="G6" i="29"/>
  <c r="H6" i="29"/>
  <c r="T46" i="28"/>
  <c r="W21" i="28" s="1"/>
  <c r="N46" i="28"/>
  <c r="Q24" i="28" s="1"/>
  <c r="K9" i="27"/>
  <c r="Q9" i="27"/>
  <c r="K17" i="27"/>
  <c r="Q17" i="27"/>
  <c r="Q25" i="27"/>
  <c r="Q10" i="27"/>
  <c r="K18" i="27"/>
  <c r="Q18" i="27"/>
  <c r="K26" i="27"/>
  <c r="Q26" i="27"/>
  <c r="Q3" i="27"/>
  <c r="K27" i="27"/>
  <c r="Q27" i="27"/>
  <c r="Q4" i="27"/>
  <c r="R12" i="27"/>
  <c r="Q12" i="27"/>
  <c r="K20" i="27"/>
  <c r="Q20" i="27"/>
  <c r="K28" i="27"/>
  <c r="Q28" i="27"/>
  <c r="K11" i="27"/>
  <c r="Q11" i="27"/>
  <c r="K5" i="27"/>
  <c r="Q5" i="27"/>
  <c r="K13" i="27"/>
  <c r="Q13" i="27"/>
  <c r="K21" i="27"/>
  <c r="Q21" i="27"/>
  <c r="Q19" i="27"/>
  <c r="K6" i="27"/>
  <c r="Q6" i="27"/>
  <c r="K14" i="27"/>
  <c r="Q14" i="27"/>
  <c r="K22" i="27"/>
  <c r="Q22" i="27"/>
  <c r="R15" i="27"/>
  <c r="Q15" i="27"/>
  <c r="K23" i="27"/>
  <c r="Q23" i="27"/>
  <c r="K8" i="27"/>
  <c r="Q8" i="27"/>
  <c r="K16" i="27"/>
  <c r="Q16" i="27"/>
  <c r="K24" i="27"/>
  <c r="Q24" i="27"/>
  <c r="K4" i="27"/>
  <c r="K25" i="27"/>
  <c r="K10" i="27"/>
  <c r="K3" i="27"/>
  <c r="K19" i="27"/>
  <c r="K7" i="27"/>
  <c r="AE44" i="28"/>
  <c r="P75" i="31"/>
  <c r="AL2" i="31"/>
  <c r="N7" i="29"/>
  <c r="O4" i="30"/>
  <c r="N11" i="29"/>
  <c r="N3" i="29"/>
  <c r="N10" i="29"/>
  <c r="O5" i="30"/>
  <c r="N12" i="29"/>
  <c r="N4" i="29"/>
  <c r="N13" i="29"/>
  <c r="C14" i="29"/>
  <c r="M14" i="29" s="1"/>
  <c r="N5" i="29"/>
  <c r="O9" i="30"/>
  <c r="N8" i="29"/>
  <c r="N9" i="29"/>
  <c r="C12" i="30"/>
  <c r="N12" i="30" s="1"/>
  <c r="N6" i="29"/>
  <c r="P44" i="28"/>
  <c r="U46" i="28"/>
  <c r="V43" i="28" s="1"/>
  <c r="M75" i="31"/>
  <c r="C44" i="28"/>
  <c r="AK4" i="28" s="1"/>
  <c r="M13" i="31"/>
  <c r="M21" i="31"/>
  <c r="M29" i="31"/>
  <c r="M36" i="31"/>
  <c r="M44" i="31"/>
  <c r="M52" i="31"/>
  <c r="M60" i="31"/>
  <c r="P60" i="31"/>
  <c r="M68" i="31"/>
  <c r="P68" i="31"/>
  <c r="M14" i="31"/>
  <c r="M22" i="31"/>
  <c r="M37" i="31"/>
  <c r="M45" i="31"/>
  <c r="M53" i="31"/>
  <c r="M61" i="31"/>
  <c r="P61" i="31"/>
  <c r="M69" i="31"/>
  <c r="P69" i="31"/>
  <c r="M15" i="31"/>
  <c r="M23" i="31"/>
  <c r="M46" i="31"/>
  <c r="M54" i="31"/>
  <c r="M62" i="31"/>
  <c r="P62" i="31"/>
  <c r="M70" i="31"/>
  <c r="P70" i="31"/>
  <c r="M16" i="31"/>
  <c r="M24" i="31"/>
  <c r="M31" i="31"/>
  <c r="M47" i="31"/>
  <c r="P55" i="31"/>
  <c r="M55" i="31"/>
  <c r="P63" i="31"/>
  <c r="M63" i="31"/>
  <c r="P71" i="31"/>
  <c r="M71" i="31"/>
  <c r="M17" i="31"/>
  <c r="M25" i="31"/>
  <c r="M32" i="31"/>
  <c r="M48" i="31"/>
  <c r="P56" i="31"/>
  <c r="M56" i="31"/>
  <c r="M64" i="31"/>
  <c r="P64" i="31"/>
  <c r="P72" i="31"/>
  <c r="M72" i="31"/>
  <c r="M18" i="31"/>
  <c r="M26" i="31"/>
  <c r="M33" i="31"/>
  <c r="M41" i="31"/>
  <c r="M49" i="31"/>
  <c r="P57" i="31"/>
  <c r="M57" i="31"/>
  <c r="P65" i="31"/>
  <c r="M65" i="31"/>
  <c r="M73" i="31"/>
  <c r="P73" i="31"/>
  <c r="M29" i="27"/>
  <c r="M19" i="31"/>
  <c r="M27" i="31"/>
  <c r="M34" i="31"/>
  <c r="M42" i="31"/>
  <c r="P58" i="31"/>
  <c r="M58" i="31"/>
  <c r="M66" i="31"/>
  <c r="P66" i="31"/>
  <c r="M74" i="31"/>
  <c r="P74" i="31"/>
  <c r="M12" i="31"/>
  <c r="M20" i="31"/>
  <c r="M28" i="31"/>
  <c r="M43" i="31"/>
  <c r="M51" i="31"/>
  <c r="P59" i="31"/>
  <c r="M59" i="31"/>
  <c r="P67" i="31"/>
  <c r="M67" i="31"/>
  <c r="R7" i="27"/>
  <c r="R23" i="27"/>
  <c r="V9" i="31"/>
  <c r="M9" i="31"/>
  <c r="V8" i="31"/>
  <c r="M8" i="31"/>
  <c r="R8" i="27"/>
  <c r="R16" i="27"/>
  <c r="R24" i="27"/>
  <c r="V11" i="31"/>
  <c r="M11" i="31"/>
  <c r="V3" i="31"/>
  <c r="M3" i="31"/>
  <c r="R22" i="27"/>
  <c r="R17" i="27"/>
  <c r="R18" i="27"/>
  <c r="M4" i="31"/>
  <c r="V4" i="31"/>
  <c r="V10" i="31"/>
  <c r="M10" i="31"/>
  <c r="R6" i="27"/>
  <c r="R25" i="27"/>
  <c r="R10" i="27"/>
  <c r="R3" i="27"/>
  <c r="R11" i="27"/>
  <c r="R19" i="27"/>
  <c r="R27" i="27"/>
  <c r="M5" i="31"/>
  <c r="V5" i="31"/>
  <c r="R14" i="27"/>
  <c r="R4" i="27"/>
  <c r="R20" i="27"/>
  <c r="R28" i="27"/>
  <c r="M6" i="31"/>
  <c r="V6" i="31"/>
  <c r="R9" i="27"/>
  <c r="R26" i="27"/>
  <c r="R5" i="27"/>
  <c r="R13" i="27"/>
  <c r="R21" i="27"/>
  <c r="C29" i="27"/>
  <c r="Q29" i="27" s="1"/>
  <c r="V7" i="31"/>
  <c r="M7" i="31"/>
  <c r="N13" i="30" l="1"/>
  <c r="P11" i="30" s="1"/>
  <c r="AM3" i="28"/>
  <c r="AD20" i="28" s="1"/>
  <c r="Z25" i="27"/>
  <c r="Z19" i="27"/>
  <c r="Z10" i="27"/>
  <c r="AB14" i="29"/>
  <c r="AL3" i="29" s="1"/>
  <c r="AA12" i="30"/>
  <c r="AI3" i="30" s="1"/>
  <c r="W9" i="30" s="1"/>
  <c r="Z3" i="27"/>
  <c r="AC74" i="31"/>
  <c r="AC58" i="31"/>
  <c r="AC63" i="31"/>
  <c r="AC9" i="31"/>
  <c r="AC12" i="31"/>
  <c r="AC37" i="31"/>
  <c r="AC31" i="31"/>
  <c r="AC6" i="31"/>
  <c r="AC29" i="31"/>
  <c r="AC5" i="31"/>
  <c r="AJ5" i="31" s="1"/>
  <c r="AC28" i="31"/>
  <c r="AC57" i="31"/>
  <c r="AC25" i="31"/>
  <c r="AC50" i="31"/>
  <c r="AC19" i="31"/>
  <c r="AC43" i="31"/>
  <c r="AC10" i="31"/>
  <c r="AJ10" i="31" s="1"/>
  <c r="AC35" i="31"/>
  <c r="X12" i="30"/>
  <c r="H12" i="30"/>
  <c r="I12" i="30"/>
  <c r="I14" i="30"/>
  <c r="K10" i="30" s="1"/>
  <c r="R10" i="30" s="1"/>
  <c r="H14" i="30"/>
  <c r="J9" i="30" s="1"/>
  <c r="X14" i="29"/>
  <c r="H15" i="29"/>
  <c r="J7" i="29" s="1"/>
  <c r="G14" i="29"/>
  <c r="H14" i="29"/>
  <c r="G15" i="29"/>
  <c r="I5" i="29" s="1"/>
  <c r="W3" i="28"/>
  <c r="W10" i="28"/>
  <c r="W34" i="28"/>
  <c r="W25" i="28"/>
  <c r="W11" i="28"/>
  <c r="W19" i="28"/>
  <c r="W38" i="28"/>
  <c r="W41" i="28"/>
  <c r="W42" i="28"/>
  <c r="W24" i="28"/>
  <c r="Y24" i="28" s="1"/>
  <c r="W6" i="28"/>
  <c r="W8" i="28"/>
  <c r="W35" i="28"/>
  <c r="W27" i="28"/>
  <c r="W15" i="28"/>
  <c r="W7" i="28"/>
  <c r="W43" i="28"/>
  <c r="W39" i="28"/>
  <c r="W5" i="28"/>
  <c r="W33" i="28"/>
  <c r="W4" i="28"/>
  <c r="W12" i="28"/>
  <c r="W31" i="28"/>
  <c r="W23" i="28"/>
  <c r="W28" i="28"/>
  <c r="W32" i="28"/>
  <c r="W30" i="28"/>
  <c r="W36" i="28"/>
  <c r="W18" i="28"/>
  <c r="W13" i="28"/>
  <c r="W14" i="28"/>
  <c r="W9" i="28"/>
  <c r="W16" i="28"/>
  <c r="W29" i="28"/>
  <c r="W22" i="28"/>
  <c r="W17" i="28"/>
  <c r="W40" i="28"/>
  <c r="W37" i="28"/>
  <c r="W20" i="28"/>
  <c r="W26" i="28"/>
  <c r="N44" i="28"/>
  <c r="T44" i="28"/>
  <c r="Q27" i="28"/>
  <c r="Q30" i="28"/>
  <c r="Q35" i="28"/>
  <c r="Y35" i="28" s="1"/>
  <c r="Q31" i="28"/>
  <c r="Q12" i="28"/>
  <c r="Q8" i="28"/>
  <c r="Q6" i="28"/>
  <c r="Q23" i="28"/>
  <c r="Q7" i="28"/>
  <c r="Q13" i="28"/>
  <c r="Q16" i="28"/>
  <c r="Q32" i="28"/>
  <c r="Q22" i="28"/>
  <c r="Q36" i="28"/>
  <c r="Q17" i="28"/>
  <c r="Q28" i="28"/>
  <c r="Q41" i="28"/>
  <c r="Q42" i="28"/>
  <c r="Q43" i="28"/>
  <c r="Q11" i="28"/>
  <c r="Q15" i="28"/>
  <c r="Q5" i="28"/>
  <c r="Q39" i="28"/>
  <c r="Q40" i="28"/>
  <c r="Q29" i="28"/>
  <c r="Q20" i="28"/>
  <c r="Q21" i="28"/>
  <c r="Y21" i="28" s="1"/>
  <c r="Q25" i="28"/>
  <c r="Q3" i="28"/>
  <c r="Q10" i="28"/>
  <c r="Q26" i="28"/>
  <c r="Q34" i="28"/>
  <c r="Q18" i="28"/>
  <c r="Q9" i="28"/>
  <c r="Q37" i="28"/>
  <c r="Q14" i="28"/>
  <c r="Q4" i="28"/>
  <c r="Q33" i="28"/>
  <c r="Q38" i="28"/>
  <c r="Q19" i="28"/>
  <c r="V11" i="28"/>
  <c r="X11" i="28" s="1"/>
  <c r="V17" i="28"/>
  <c r="X17" i="28" s="1"/>
  <c r="Q31" i="27"/>
  <c r="T7" i="27" s="1"/>
  <c r="K31" i="27"/>
  <c r="N3" i="27" s="1"/>
  <c r="K29" i="27"/>
  <c r="V35" i="28"/>
  <c r="X35" i="28" s="1"/>
  <c r="AJ4" i="29"/>
  <c r="N14" i="29"/>
  <c r="O13" i="30"/>
  <c r="Q9" i="30" s="1"/>
  <c r="P77" i="31"/>
  <c r="Q11" i="31" s="1"/>
  <c r="V3" i="28"/>
  <c r="X3" i="28" s="1"/>
  <c r="N15" i="29"/>
  <c r="O5" i="29" s="1"/>
  <c r="AG4" i="30"/>
  <c r="O12" i="30"/>
  <c r="X43" i="28"/>
  <c r="U44" i="28"/>
  <c r="V24" i="28"/>
  <c r="V8" i="28"/>
  <c r="X8" i="28" s="1"/>
  <c r="V13" i="28"/>
  <c r="X13" i="28" s="1"/>
  <c r="V42" i="28"/>
  <c r="X42" i="28" s="1"/>
  <c r="V5" i="28"/>
  <c r="V31" i="28"/>
  <c r="V29" i="28"/>
  <c r="X29" i="28" s="1"/>
  <c r="V41" i="28"/>
  <c r="X41" i="28" s="1"/>
  <c r="V22" i="28"/>
  <c r="X22" i="28" s="1"/>
  <c r="V27" i="28"/>
  <c r="X27" i="28" s="1"/>
  <c r="V37" i="28"/>
  <c r="X37" i="28" s="1"/>
  <c r="V20" i="28"/>
  <c r="V6" i="28"/>
  <c r="V14" i="28"/>
  <c r="V7" i="28"/>
  <c r="V40" i="28"/>
  <c r="V9" i="28"/>
  <c r="V32" i="28"/>
  <c r="X32" i="28" s="1"/>
  <c r="V15" i="28"/>
  <c r="X15" i="28" s="1"/>
  <c r="V30" i="28"/>
  <c r="V21" i="28"/>
  <c r="V12" i="28"/>
  <c r="X12" i="28" s="1"/>
  <c r="V10" i="28"/>
  <c r="X10" i="28" s="1"/>
  <c r="V38" i="28"/>
  <c r="X38" i="28" s="1"/>
  <c r="V16" i="28"/>
  <c r="V23" i="28"/>
  <c r="X23" i="28" s="1"/>
  <c r="V25" i="28"/>
  <c r="X25" i="28" s="1"/>
  <c r="V36" i="28"/>
  <c r="V18" i="28"/>
  <c r="V39" i="28"/>
  <c r="X39" i="28" s="1"/>
  <c r="V4" i="28"/>
  <c r="V33" i="28"/>
  <c r="X33" i="28" s="1"/>
  <c r="V26" i="28"/>
  <c r="X26" i="28" s="1"/>
  <c r="V19" i="28"/>
  <c r="X19" i="28" s="1"/>
  <c r="V28" i="28"/>
  <c r="X28" i="28" s="1"/>
  <c r="V34" i="28"/>
  <c r="X34" i="28" s="1"/>
  <c r="V77" i="31"/>
  <c r="X4" i="31" s="1"/>
  <c r="M77" i="31"/>
  <c r="N28" i="31" s="1"/>
  <c r="R48" i="31"/>
  <c r="R47" i="31"/>
  <c r="R42" i="31"/>
  <c r="R49" i="31"/>
  <c r="R18" i="31"/>
  <c r="R17" i="31"/>
  <c r="R16" i="31"/>
  <c r="R15" i="31"/>
  <c r="R45" i="31"/>
  <c r="R14" i="31"/>
  <c r="R44" i="31"/>
  <c r="R13" i="31"/>
  <c r="R7" i="31"/>
  <c r="R28" i="31"/>
  <c r="R72" i="31"/>
  <c r="R71" i="31"/>
  <c r="R4" i="31"/>
  <c r="R74" i="31"/>
  <c r="R73" i="31"/>
  <c r="R38" i="31"/>
  <c r="R68" i="31"/>
  <c r="R20" i="31"/>
  <c r="R65" i="31"/>
  <c r="R43" i="31"/>
  <c r="R27" i="31"/>
  <c r="R33" i="31"/>
  <c r="R64" i="31"/>
  <c r="R32" i="31"/>
  <c r="R31" i="31"/>
  <c r="R62" i="31"/>
  <c r="R61" i="31"/>
  <c r="R30" i="31"/>
  <c r="R60" i="31"/>
  <c r="R29" i="31"/>
  <c r="R35" i="31"/>
  <c r="R51" i="31"/>
  <c r="R34" i="31"/>
  <c r="R39" i="31"/>
  <c r="R69" i="31"/>
  <c r="R37" i="31"/>
  <c r="R58" i="31"/>
  <c r="R63" i="31"/>
  <c r="R75" i="31"/>
  <c r="R12" i="31"/>
  <c r="R50" i="31"/>
  <c r="R57" i="31"/>
  <c r="R56" i="31"/>
  <c r="R55" i="31"/>
  <c r="R52" i="31"/>
  <c r="R46" i="31"/>
  <c r="R59" i="31"/>
  <c r="R11" i="31"/>
  <c r="R66" i="31"/>
  <c r="R41" i="31"/>
  <c r="R40" i="31"/>
  <c r="R70" i="31"/>
  <c r="R36" i="31"/>
  <c r="R10" i="31"/>
  <c r="R8" i="31"/>
  <c r="R9" i="31"/>
  <c r="R67" i="31"/>
  <c r="R19" i="31"/>
  <c r="R26" i="31"/>
  <c r="R25" i="31"/>
  <c r="R24" i="31"/>
  <c r="R54" i="31"/>
  <c r="R23" i="31"/>
  <c r="R53" i="31"/>
  <c r="R22" i="31"/>
  <c r="R21" i="31"/>
  <c r="R29" i="27"/>
  <c r="R5" i="31"/>
  <c r="R31" i="27"/>
  <c r="S20" i="27" s="1"/>
  <c r="U20" i="27" s="1"/>
  <c r="R3" i="31"/>
  <c r="R6" i="31"/>
  <c r="P4" i="30" l="1"/>
  <c r="P3" i="30"/>
  <c r="P9" i="30"/>
  <c r="P5" i="30"/>
  <c r="S9" i="30"/>
  <c r="Y30" i="28"/>
  <c r="W5" i="29"/>
  <c r="Y18" i="29" s="1"/>
  <c r="AB18" i="29" s="1"/>
  <c r="W4" i="29"/>
  <c r="Y17" i="29" s="1"/>
  <c r="AB17" i="29" s="1"/>
  <c r="Y34" i="28"/>
  <c r="AD34" i="28"/>
  <c r="AD21" i="28"/>
  <c r="Y33" i="28"/>
  <c r="AD26" i="28"/>
  <c r="Y22" i="28"/>
  <c r="AD10" i="28"/>
  <c r="T28" i="27"/>
  <c r="T22" i="27"/>
  <c r="T19" i="27"/>
  <c r="T23" i="27"/>
  <c r="W3" i="29"/>
  <c r="Y16" i="29" s="1"/>
  <c r="AB16" i="29" s="1"/>
  <c r="AD22" i="28"/>
  <c r="AD33" i="28"/>
  <c r="AD11" i="28"/>
  <c r="AD17" i="28"/>
  <c r="Y6" i="28"/>
  <c r="Y5" i="28"/>
  <c r="Y36" i="28"/>
  <c r="Y8" i="28"/>
  <c r="W4" i="30"/>
  <c r="W12" i="30" s="1"/>
  <c r="Y25" i="28"/>
  <c r="AC75" i="31"/>
  <c r="T27" i="27"/>
  <c r="Q19" i="31"/>
  <c r="Q18" i="31"/>
  <c r="Q66" i="31"/>
  <c r="Q29" i="31"/>
  <c r="Q36" i="31"/>
  <c r="Q65" i="31"/>
  <c r="Q6" i="31"/>
  <c r="Q60" i="31"/>
  <c r="Q5" i="31"/>
  <c r="Q59" i="31"/>
  <c r="Q22" i="31"/>
  <c r="Q33" i="31"/>
  <c r="Q28" i="31"/>
  <c r="T28" i="31" s="1"/>
  <c r="Q69" i="31"/>
  <c r="Q27" i="31"/>
  <c r="Q72" i="31"/>
  <c r="Q35" i="31"/>
  <c r="Q51" i="31"/>
  <c r="Q21" i="31"/>
  <c r="Q10" i="31"/>
  <c r="Q25" i="31"/>
  <c r="Q20" i="31"/>
  <c r="Q15" i="31"/>
  <c r="Q55" i="31"/>
  <c r="Q43" i="31"/>
  <c r="Q68" i="31"/>
  <c r="Q38" i="31"/>
  <c r="Q14" i="31"/>
  <c r="Q64" i="31"/>
  <c r="Q24" i="31"/>
  <c r="Q8" i="31"/>
  <c r="Q67" i="31"/>
  <c r="Q31" i="31"/>
  <c r="Q52" i="31"/>
  <c r="Q47" i="31"/>
  <c r="N71" i="31"/>
  <c r="N60" i="31"/>
  <c r="N70" i="31"/>
  <c r="N18" i="31"/>
  <c r="Q74" i="31"/>
  <c r="Q57" i="31"/>
  <c r="Q63" i="31"/>
  <c r="Q61" i="31"/>
  <c r="Q30" i="31"/>
  <c r="Q53" i="31"/>
  <c r="Q34" i="31"/>
  <c r="Q32" i="31"/>
  <c r="Q7" i="31"/>
  <c r="Q9" i="31"/>
  <c r="Q48" i="31"/>
  <c r="N9" i="31"/>
  <c r="X9" i="31"/>
  <c r="Q56" i="31"/>
  <c r="Q62" i="31"/>
  <c r="Q26" i="31"/>
  <c r="Q50" i="31"/>
  <c r="Q41" i="31"/>
  <c r="Q23" i="31"/>
  <c r="Q40" i="31"/>
  <c r="Q17" i="31"/>
  <c r="Q42" i="31"/>
  <c r="N64" i="31"/>
  <c r="N49" i="31"/>
  <c r="N7" i="31"/>
  <c r="T7" i="31" s="1"/>
  <c r="X6" i="31"/>
  <c r="N10" i="31"/>
  <c r="Q73" i="31"/>
  <c r="Q58" i="31"/>
  <c r="Q54" i="31"/>
  <c r="Q37" i="31"/>
  <c r="Q4" i="31"/>
  <c r="Q13" i="31"/>
  <c r="Q3" i="31"/>
  <c r="Q16" i="31"/>
  <c r="Q46" i="31"/>
  <c r="N58" i="31"/>
  <c r="T58" i="31" s="1"/>
  <c r="Q71" i="31"/>
  <c r="X8" i="31"/>
  <c r="N6" i="31"/>
  <c r="T6" i="31" s="1"/>
  <c r="Q70" i="31"/>
  <c r="N11" i="31"/>
  <c r="T11" i="31" s="1"/>
  <c r="Q49" i="31"/>
  <c r="Q39" i="31"/>
  <c r="Q12" i="31"/>
  <c r="Q45" i="31"/>
  <c r="Q44" i="31"/>
  <c r="J5" i="30"/>
  <c r="S5" i="30" s="1"/>
  <c r="J4" i="30"/>
  <c r="S4" i="30" s="1"/>
  <c r="J10" i="30"/>
  <c r="S10" i="30" s="1"/>
  <c r="J3" i="30"/>
  <c r="S3" i="30" s="1"/>
  <c r="J11" i="30"/>
  <c r="S11" i="30" s="1"/>
  <c r="K5" i="30"/>
  <c r="K3" i="30"/>
  <c r="K11" i="30"/>
  <c r="R11" i="30" s="1"/>
  <c r="K9" i="30"/>
  <c r="R9" i="30" s="1"/>
  <c r="Q5" i="30"/>
  <c r="K4" i="30"/>
  <c r="Q4" i="30"/>
  <c r="I12" i="29"/>
  <c r="J10" i="29"/>
  <c r="J8" i="29"/>
  <c r="I13" i="29"/>
  <c r="J12" i="29"/>
  <c r="I10" i="29"/>
  <c r="I7" i="29"/>
  <c r="J9" i="29"/>
  <c r="J11" i="29"/>
  <c r="J3" i="29"/>
  <c r="I8" i="29"/>
  <c r="J6" i="29"/>
  <c r="I3" i="29"/>
  <c r="I4" i="29"/>
  <c r="I6" i="29"/>
  <c r="I11" i="29"/>
  <c r="I9" i="29"/>
  <c r="J13" i="29"/>
  <c r="J4" i="29"/>
  <c r="J5" i="29"/>
  <c r="Q5" i="29" s="1"/>
  <c r="Y11" i="28"/>
  <c r="Y17" i="28"/>
  <c r="Y19" i="28"/>
  <c r="Y15" i="28"/>
  <c r="Y14" i="28"/>
  <c r="Y31" i="28"/>
  <c r="Y38" i="28"/>
  <c r="Y26" i="28"/>
  <c r="Y39" i="28"/>
  <c r="Y10" i="28"/>
  <c r="Y4" i="28"/>
  <c r="Y3" i="28"/>
  <c r="Y20" i="28"/>
  <c r="Y32" i="28"/>
  <c r="Y37" i="28"/>
  <c r="Y16" i="28"/>
  <c r="Y29" i="28"/>
  <c r="Y12" i="28"/>
  <c r="W44" i="28"/>
  <c r="Y43" i="28"/>
  <c r="Y9" i="28"/>
  <c r="Y42" i="28"/>
  <c r="Y13" i="28"/>
  <c r="Y18" i="28"/>
  <c r="Y41" i="28"/>
  <c r="Y7" i="28"/>
  <c r="Y27" i="28"/>
  <c r="Y40" i="28"/>
  <c r="Y28" i="28"/>
  <c r="Y23" i="28"/>
  <c r="Q44" i="28"/>
  <c r="T24" i="27"/>
  <c r="T21" i="27"/>
  <c r="T11" i="27"/>
  <c r="T25" i="27"/>
  <c r="T17" i="27"/>
  <c r="T4" i="27"/>
  <c r="T26" i="27"/>
  <c r="T20" i="27"/>
  <c r="T16" i="27"/>
  <c r="T5" i="27"/>
  <c r="T13" i="27"/>
  <c r="T9" i="27"/>
  <c r="T6" i="27"/>
  <c r="T14" i="27"/>
  <c r="T10" i="27"/>
  <c r="T18" i="27"/>
  <c r="T3" i="27"/>
  <c r="T8" i="27"/>
  <c r="N20" i="27"/>
  <c r="N18" i="27"/>
  <c r="N16" i="27"/>
  <c r="N14" i="27"/>
  <c r="V14" i="27" s="1"/>
  <c r="N22" i="27"/>
  <c r="N11" i="27"/>
  <c r="N24" i="27"/>
  <c r="V24" i="27" s="1"/>
  <c r="N23" i="27"/>
  <c r="N17" i="27"/>
  <c r="N27" i="27"/>
  <c r="N5" i="27"/>
  <c r="N9" i="27"/>
  <c r="N26" i="27"/>
  <c r="V26" i="27" s="1"/>
  <c r="N21" i="27"/>
  <c r="N28" i="27"/>
  <c r="V28" i="27" s="1"/>
  <c r="N8" i="27"/>
  <c r="V8" i="27" s="1"/>
  <c r="N13" i="27"/>
  <c r="N6" i="27"/>
  <c r="N25" i="27"/>
  <c r="N7" i="27"/>
  <c r="V7" i="27" s="1"/>
  <c r="N4" i="27"/>
  <c r="N19" i="27"/>
  <c r="N10" i="27"/>
  <c r="S23" i="27"/>
  <c r="U23" i="27" s="1"/>
  <c r="O9" i="29"/>
  <c r="O4" i="29"/>
  <c r="Q4" i="29" s="1"/>
  <c r="O8" i="29"/>
  <c r="O3" i="29"/>
  <c r="N42" i="31"/>
  <c r="S3" i="27"/>
  <c r="U3" i="27" s="1"/>
  <c r="X5" i="28"/>
  <c r="O12" i="29"/>
  <c r="Q12" i="29" s="1"/>
  <c r="O11" i="29"/>
  <c r="X10" i="31"/>
  <c r="N23" i="31"/>
  <c r="N56" i="31"/>
  <c r="O10" i="29"/>
  <c r="Q10" i="29" s="1"/>
  <c r="N57" i="31"/>
  <c r="N24" i="31"/>
  <c r="N3" i="31"/>
  <c r="O6" i="29"/>
  <c r="N55" i="31"/>
  <c r="V44" i="28"/>
  <c r="N54" i="31"/>
  <c r="N5" i="31"/>
  <c r="O7" i="29"/>
  <c r="Q7" i="29" s="1"/>
  <c r="O13" i="29"/>
  <c r="X6" i="28"/>
  <c r="X30" i="28"/>
  <c r="X36" i="28"/>
  <c r="X40" i="28"/>
  <c r="X16" i="28"/>
  <c r="X4" i="28"/>
  <c r="X21" i="28"/>
  <c r="X24" i="28"/>
  <c r="X20" i="28"/>
  <c r="X14" i="28"/>
  <c r="X7" i="28"/>
  <c r="X18" i="28"/>
  <c r="X9" i="28"/>
  <c r="X31" i="28"/>
  <c r="S24" i="27"/>
  <c r="U24" i="27" s="1"/>
  <c r="S9" i="27"/>
  <c r="U9" i="27" s="1"/>
  <c r="S8" i="27"/>
  <c r="U8" i="27" s="1"/>
  <c r="S22" i="27"/>
  <c r="U22" i="27" s="1"/>
  <c r="S18" i="27"/>
  <c r="U18" i="27" s="1"/>
  <c r="S6" i="27"/>
  <c r="U6" i="27" s="1"/>
  <c r="S16" i="27"/>
  <c r="U16" i="27" s="1"/>
  <c r="S19" i="27"/>
  <c r="U19" i="27" s="1"/>
  <c r="S25" i="27"/>
  <c r="U25" i="27" s="1"/>
  <c r="S28" i="27"/>
  <c r="U28" i="27" s="1"/>
  <c r="S26" i="27"/>
  <c r="U26" i="27" s="1"/>
  <c r="S13" i="27"/>
  <c r="U13" i="27" s="1"/>
  <c r="S17" i="27"/>
  <c r="U17" i="27" s="1"/>
  <c r="S10" i="27"/>
  <c r="U10" i="27" s="1"/>
  <c r="S4" i="27"/>
  <c r="U4" i="27" s="1"/>
  <c r="S7" i="27"/>
  <c r="U7" i="27" s="1"/>
  <c r="S27" i="27"/>
  <c r="U27" i="27" s="1"/>
  <c r="S14" i="27"/>
  <c r="U14" i="27" s="1"/>
  <c r="S5" i="27"/>
  <c r="U5" i="27" s="1"/>
  <c r="S11" i="27"/>
  <c r="U11" i="27" s="1"/>
  <c r="N36" i="31"/>
  <c r="N14" i="31"/>
  <c r="N52" i="31"/>
  <c r="N48" i="31"/>
  <c r="N33" i="31"/>
  <c r="N22" i="31"/>
  <c r="X36" i="31"/>
  <c r="X28" i="31"/>
  <c r="X60" i="31"/>
  <c r="X18" i="31"/>
  <c r="X68" i="31"/>
  <c r="X24" i="31"/>
  <c r="X22" i="31"/>
  <c r="X56" i="31"/>
  <c r="X14" i="31"/>
  <c r="X50" i="31"/>
  <c r="X34" i="31"/>
  <c r="X38" i="31"/>
  <c r="X16" i="31"/>
  <c r="X44" i="31"/>
  <c r="X32" i="31"/>
  <c r="X29" i="31"/>
  <c r="X48" i="31"/>
  <c r="X63" i="31"/>
  <c r="X26" i="31"/>
  <c r="X25" i="31"/>
  <c r="X69" i="31"/>
  <c r="X73" i="31"/>
  <c r="X71" i="31"/>
  <c r="X33" i="31"/>
  <c r="X61" i="31"/>
  <c r="X27" i="31"/>
  <c r="X40" i="31"/>
  <c r="X65" i="31"/>
  <c r="X39" i="31"/>
  <c r="X52" i="31"/>
  <c r="X55" i="31"/>
  <c r="X15" i="31"/>
  <c r="X53" i="31"/>
  <c r="X23" i="31"/>
  <c r="X67" i="31"/>
  <c r="X74" i="31"/>
  <c r="X30" i="31"/>
  <c r="X57" i="31"/>
  <c r="X13" i="31"/>
  <c r="X19" i="31"/>
  <c r="X70" i="31"/>
  <c r="X17" i="31"/>
  <c r="X59" i="31"/>
  <c r="X66" i="31"/>
  <c r="X49" i="31"/>
  <c r="X12" i="31"/>
  <c r="X62" i="31"/>
  <c r="X37" i="31"/>
  <c r="X51" i="31"/>
  <c r="X58" i="31"/>
  <c r="X41" i="31"/>
  <c r="X64" i="31"/>
  <c r="X54" i="31"/>
  <c r="X31" i="31"/>
  <c r="X72" i="31"/>
  <c r="X43" i="31"/>
  <c r="X46" i="31"/>
  <c r="X35" i="31"/>
  <c r="X42" i="31"/>
  <c r="X20" i="31"/>
  <c r="X45" i="31"/>
  <c r="X47" i="31"/>
  <c r="X21" i="31"/>
  <c r="N15" i="31"/>
  <c r="N47" i="31"/>
  <c r="N19" i="31"/>
  <c r="T19" i="31" s="1"/>
  <c r="N12" i="31"/>
  <c r="N62" i="31"/>
  <c r="N73" i="31"/>
  <c r="X3" i="31"/>
  <c r="N16" i="31"/>
  <c r="N45" i="31"/>
  <c r="N72" i="31"/>
  <c r="N44" i="31"/>
  <c r="N74" i="31"/>
  <c r="N67" i="31"/>
  <c r="N13" i="31"/>
  <c r="X7" i="31"/>
  <c r="N25" i="31"/>
  <c r="N43" i="31"/>
  <c r="N20" i="31"/>
  <c r="N53" i="31"/>
  <c r="N63" i="31"/>
  <c r="N46" i="31"/>
  <c r="N4" i="31"/>
  <c r="N61" i="31"/>
  <c r="N8" i="31"/>
  <c r="N26" i="31"/>
  <c r="X5" i="31"/>
  <c r="N66" i="31"/>
  <c r="N31" i="31"/>
  <c r="N29" i="31"/>
  <c r="X11" i="31"/>
  <c r="N17" i="31"/>
  <c r="N34" i="31"/>
  <c r="N37" i="31"/>
  <c r="N59" i="31"/>
  <c r="N27" i="31"/>
  <c r="N69" i="31"/>
  <c r="N41" i="31"/>
  <c r="N32" i="31"/>
  <c r="N68" i="31"/>
  <c r="N40" i="31"/>
  <c r="N35" i="31"/>
  <c r="N50" i="31"/>
  <c r="N39" i="31"/>
  <c r="N38" i="31"/>
  <c r="N30" i="31"/>
  <c r="N65" i="31"/>
  <c r="N21" i="31"/>
  <c r="N51" i="31"/>
  <c r="R77" i="31"/>
  <c r="S43" i="31" s="1"/>
  <c r="S21" i="27"/>
  <c r="U21" i="27" s="1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T63" i="31" l="1"/>
  <c r="T46" i="31"/>
  <c r="Q3" i="29"/>
  <c r="Q13" i="29"/>
  <c r="T50" i="31"/>
  <c r="Y50" i="31" s="1"/>
  <c r="T51" i="31"/>
  <c r="Y51" i="31" s="1"/>
  <c r="T16" i="31"/>
  <c r="Y16" i="31" s="1"/>
  <c r="AD44" i="28"/>
  <c r="V23" i="27"/>
  <c r="V11" i="27"/>
  <c r="V19" i="27"/>
  <c r="V22" i="27"/>
  <c r="V6" i="27"/>
  <c r="V27" i="27"/>
  <c r="V17" i="27"/>
  <c r="V10" i="27"/>
  <c r="T68" i="31"/>
  <c r="Y68" i="31" s="1"/>
  <c r="S61" i="31"/>
  <c r="T47" i="31"/>
  <c r="Y47" i="31" s="1"/>
  <c r="T73" i="31"/>
  <c r="Y73" i="31" s="1"/>
  <c r="T60" i="31"/>
  <c r="Y60" i="31" s="1"/>
  <c r="T13" i="31"/>
  <c r="Y13" i="31" s="1"/>
  <c r="T38" i="31"/>
  <c r="Y38" i="31" s="1"/>
  <c r="T36" i="31"/>
  <c r="Y36" i="31" s="1"/>
  <c r="T66" i="31"/>
  <c r="Y66" i="31" s="1"/>
  <c r="T59" i="31"/>
  <c r="Y59" i="31" s="1"/>
  <c r="T20" i="31"/>
  <c r="Y20" i="31" s="1"/>
  <c r="T35" i="31"/>
  <c r="Y35" i="31" s="1"/>
  <c r="AD35" i="31" s="1"/>
  <c r="T24" i="31"/>
  <c r="Y24" i="31" s="1"/>
  <c r="T49" i="31"/>
  <c r="Y49" i="31" s="1"/>
  <c r="T18" i="31"/>
  <c r="Y18" i="31" s="1"/>
  <c r="T65" i="31"/>
  <c r="Y65" i="31" s="1"/>
  <c r="Y11" i="31"/>
  <c r="T52" i="31"/>
  <c r="Y52" i="31" s="1"/>
  <c r="T30" i="31"/>
  <c r="Y30" i="31" s="1"/>
  <c r="AD30" i="31" s="1"/>
  <c r="T29" i="31"/>
  <c r="T67" i="31"/>
  <c r="Y67" i="31" s="1"/>
  <c r="T14" i="31"/>
  <c r="Y14" i="31" s="1"/>
  <c r="T69" i="31"/>
  <c r="Y69" i="31" s="1"/>
  <c r="T43" i="31"/>
  <c r="Y43" i="31" s="1"/>
  <c r="AD43" i="31" s="1"/>
  <c r="T3" i="31"/>
  <c r="Y3" i="31" s="1"/>
  <c r="Y6" i="31"/>
  <c r="AD6" i="31" s="1"/>
  <c r="Y7" i="31"/>
  <c r="T5" i="31"/>
  <c r="Y5" i="31" s="1"/>
  <c r="T57" i="31"/>
  <c r="Y57" i="31" s="1"/>
  <c r="AD57" i="31" s="1"/>
  <c r="T64" i="31"/>
  <c r="Y64" i="31" s="1"/>
  <c r="T41" i="31"/>
  <c r="Y41" i="31" s="1"/>
  <c r="AD41" i="31" s="1"/>
  <c r="T56" i="31"/>
  <c r="Y56" i="31" s="1"/>
  <c r="T31" i="31"/>
  <c r="Y31" i="31" s="1"/>
  <c r="AD31" i="31" s="1"/>
  <c r="T74" i="31"/>
  <c r="Y74" i="31" s="1"/>
  <c r="AJ74" i="31" s="1"/>
  <c r="T12" i="31"/>
  <c r="Y12" i="31" s="1"/>
  <c r="AD12" i="31" s="1"/>
  <c r="T9" i="31"/>
  <c r="Y9" i="31" s="1"/>
  <c r="AD9" i="31" s="1"/>
  <c r="T39" i="31"/>
  <c r="Y39" i="31" s="1"/>
  <c r="Y58" i="31"/>
  <c r="T55" i="31"/>
  <c r="Y55" i="31" s="1"/>
  <c r="T32" i="31"/>
  <c r="Y32" i="31" s="1"/>
  <c r="T4" i="31"/>
  <c r="Y4" i="31" s="1"/>
  <c r="Q75" i="31"/>
  <c r="T70" i="31"/>
  <c r="Y70" i="31" s="1"/>
  <c r="Y28" i="31"/>
  <c r="T26" i="31"/>
  <c r="Y26" i="31" s="1"/>
  <c r="T40" i="31"/>
  <c r="Y40" i="31" s="1"/>
  <c r="T8" i="31"/>
  <c r="Y8" i="31" s="1"/>
  <c r="AD8" i="31" s="1"/>
  <c r="T25" i="31"/>
  <c r="Y25" i="31" s="1"/>
  <c r="AD25" i="31" s="1"/>
  <c r="T45" i="31"/>
  <c r="Y45" i="31" s="1"/>
  <c r="T15" i="31"/>
  <c r="Y15" i="31" s="1"/>
  <c r="T22" i="31"/>
  <c r="Y22" i="31" s="1"/>
  <c r="T10" i="31"/>
  <c r="Y10" i="31" s="1"/>
  <c r="AD10" i="31" s="1"/>
  <c r="T27" i="31"/>
  <c r="Y27" i="31" s="1"/>
  <c r="T72" i="31"/>
  <c r="Y72" i="31" s="1"/>
  <c r="T21" i="31"/>
  <c r="Y21" i="31" s="1"/>
  <c r="T17" i="31"/>
  <c r="Y17" i="31" s="1"/>
  <c r="T61" i="31"/>
  <c r="Y61" i="31" s="1"/>
  <c r="T33" i="31"/>
  <c r="Y33" i="31" s="1"/>
  <c r="S32" i="31"/>
  <c r="T54" i="31"/>
  <c r="Y54" i="31" s="1"/>
  <c r="T53" i="31"/>
  <c r="Y53" i="31" s="1"/>
  <c r="T37" i="31"/>
  <c r="Y37" i="31" s="1"/>
  <c r="T44" i="31"/>
  <c r="Y44" i="31" s="1"/>
  <c r="T62" i="31"/>
  <c r="Y62" i="31" s="1"/>
  <c r="T34" i="31"/>
  <c r="Y34" i="31" s="1"/>
  <c r="T42" i="31"/>
  <c r="Y42" i="31" s="1"/>
  <c r="T23" i="31"/>
  <c r="Y23" i="31" s="1"/>
  <c r="AD23" i="31" s="1"/>
  <c r="S14" i="31"/>
  <c r="T48" i="31"/>
  <c r="Y48" i="31" s="1"/>
  <c r="T71" i="31"/>
  <c r="Y71" i="31" s="1"/>
  <c r="W14" i="29"/>
  <c r="Q12" i="30"/>
  <c r="J12" i="30"/>
  <c r="R5" i="30"/>
  <c r="R4" i="30"/>
  <c r="R3" i="30"/>
  <c r="K12" i="30"/>
  <c r="Q6" i="29"/>
  <c r="Q8" i="29"/>
  <c r="Q11" i="29"/>
  <c r="Q9" i="29"/>
  <c r="I14" i="29"/>
  <c r="J14" i="29"/>
  <c r="Y44" i="28"/>
  <c r="V21" i="27"/>
  <c r="V9" i="27"/>
  <c r="V25" i="27"/>
  <c r="T29" i="27"/>
  <c r="N29" i="27"/>
  <c r="V4" i="27"/>
  <c r="V5" i="27"/>
  <c r="V16" i="27"/>
  <c r="V18" i="27"/>
  <c r="V13" i="27"/>
  <c r="V20" i="27"/>
  <c r="V3" i="27"/>
  <c r="U29" i="27"/>
  <c r="Z29" i="27"/>
  <c r="C122" i="2"/>
  <c r="S52" i="31"/>
  <c r="S19" i="31"/>
  <c r="O14" i="29"/>
  <c r="S5" i="31"/>
  <c r="Y29" i="31"/>
  <c r="Y46" i="31"/>
  <c r="S42" i="31"/>
  <c r="S40" i="31"/>
  <c r="Y63" i="31"/>
  <c r="AD63" i="31" s="1"/>
  <c r="S72" i="31"/>
  <c r="Y19" i="31"/>
  <c r="AD19" i="31" s="1"/>
  <c r="X44" i="28"/>
  <c r="S29" i="27"/>
  <c r="S49" i="31"/>
  <c r="S16" i="31"/>
  <c r="N75" i="31"/>
  <c r="S68" i="31"/>
  <c r="X75" i="31"/>
  <c r="S22" i="31"/>
  <c r="S3" i="31"/>
  <c r="S34" i="31"/>
  <c r="S9" i="31"/>
  <c r="S54" i="31"/>
  <c r="S70" i="31"/>
  <c r="S38" i="31"/>
  <c r="S45" i="31"/>
  <c r="S64" i="31"/>
  <c r="S74" i="31"/>
  <c r="S4" i="31"/>
  <c r="S7" i="31"/>
  <c r="S46" i="31"/>
  <c r="S65" i="31"/>
  <c r="S47" i="31"/>
  <c r="S30" i="31"/>
  <c r="S73" i="31"/>
  <c r="S58" i="31"/>
  <c r="S67" i="31"/>
  <c r="S56" i="31"/>
  <c r="S11" i="31"/>
  <c r="S29" i="31"/>
  <c r="S50" i="31"/>
  <c r="S21" i="31"/>
  <c r="S18" i="31"/>
  <c r="S20" i="31"/>
  <c r="S36" i="31"/>
  <c r="S63" i="31"/>
  <c r="S66" i="31"/>
  <c r="S51" i="31"/>
  <c r="S10" i="31"/>
  <c r="S27" i="31"/>
  <c r="S55" i="31"/>
  <c r="S15" i="31"/>
  <c r="S57" i="31"/>
  <c r="S23" i="31"/>
  <c r="S53" i="31"/>
  <c r="S69" i="31"/>
  <c r="S48" i="31"/>
  <c r="S37" i="31"/>
  <c r="S71" i="31"/>
  <c r="S39" i="31"/>
  <c r="S44" i="31"/>
  <c r="S33" i="31"/>
  <c r="S12" i="31"/>
  <c r="S41" i="31"/>
  <c r="S28" i="31"/>
  <c r="S59" i="31"/>
  <c r="S13" i="31"/>
  <c r="S62" i="31"/>
  <c r="S6" i="31"/>
  <c r="S25" i="31"/>
  <c r="S24" i="31"/>
  <c r="S31" i="31"/>
  <c r="S26" i="31"/>
  <c r="S35" i="31"/>
  <c r="S8" i="31"/>
  <c r="S60" i="31"/>
  <c r="S17" i="31"/>
  <c r="Q14" i="29" l="1"/>
  <c r="AD75" i="31"/>
  <c r="T75" i="31"/>
  <c r="R12" i="30"/>
  <c r="V29" i="27"/>
  <c r="AJ75" i="31"/>
  <c r="Y75" i="31"/>
  <c r="S75" i="31"/>
  <c r="P3" i="29" l="1"/>
  <c r="R3" i="29" s="1"/>
  <c r="P8" i="29"/>
  <c r="R8" i="29" s="1"/>
  <c r="P9" i="29"/>
  <c r="R9" i="29" s="1"/>
  <c r="P10" i="29"/>
  <c r="R10" i="29" s="1"/>
  <c r="P6" i="29"/>
  <c r="R6" i="29" s="1"/>
  <c r="P7" i="29"/>
  <c r="R7" i="29" s="1"/>
  <c r="P11" i="29"/>
  <c r="R11" i="29" s="1"/>
  <c r="P4" i="29"/>
  <c r="R4" i="29" s="1"/>
  <c r="P12" i="29"/>
  <c r="R12" i="29" s="1"/>
  <c r="P5" i="29"/>
  <c r="R5" i="29" s="1"/>
  <c r="P13" i="29"/>
  <c r="R13" i="29" s="1"/>
  <c r="R14" i="29" l="1"/>
  <c r="P14" i="29"/>
</calcChain>
</file>

<file path=xl/comments1.xml><?xml version="1.0" encoding="utf-8"?>
<comments xmlns="http://schemas.openxmlformats.org/spreadsheetml/2006/main">
  <authors>
    <author>stano</author>
  </authors>
  <commentList>
    <comment ref="B112" authorId="0" shapeId="0">
      <text>
        <r>
          <rPr>
            <b/>
            <sz val="9"/>
            <rFont val="Times New Roman"/>
            <family val="1"/>
            <charset val="238"/>
          </rPr>
          <t>stano:</t>
        </r>
        <r>
          <rPr>
            <sz val="9"/>
            <rFont val="Times New Roman"/>
            <family val="1"/>
            <charset val="238"/>
          </rPr>
          <t xml:space="preserve">
Dna 21.4.2020 pretransformovany na Fakultu zdravotnickych vied</t>
        </r>
      </text>
    </comment>
    <comment ref="B114" authorId="0" shapeId="0">
      <text>
        <r>
          <rPr>
            <b/>
            <sz val="9"/>
            <rFont val="Times New Roman"/>
            <family val="1"/>
            <charset val="238"/>
          </rPr>
          <t>stano:</t>
        </r>
        <r>
          <rPr>
            <sz val="9"/>
            <rFont val="Times New Roman"/>
            <family val="1"/>
            <charset val="238"/>
          </rPr>
          <t xml:space="preserve">
1.6.2020 pretransformovany na Institut manazmentu UCM</t>
        </r>
      </text>
    </comment>
  </commentList>
</comments>
</file>

<file path=xl/comments2.xml><?xml version="1.0" encoding="utf-8"?>
<comments xmlns="http://schemas.openxmlformats.org/spreadsheetml/2006/main">
  <authors>
    <author>stano</author>
  </authors>
  <commentList>
    <comment ref="B12" authorId="0" shapeId="0">
      <text>
        <r>
          <rPr>
            <b/>
            <sz val="9"/>
            <rFont val="Times New Roman"/>
            <family val="1"/>
            <charset val="238"/>
          </rPr>
          <t>stano:</t>
        </r>
        <r>
          <rPr>
            <sz val="9"/>
            <rFont val="Times New Roman"/>
            <family val="1"/>
            <charset val="238"/>
          </rPr>
          <t xml:space="preserve">
Dna 21.4.2020 pretransformovany na Fakultu zdravotnickych vied</t>
        </r>
      </text>
    </comment>
  </commentList>
</comments>
</file>

<file path=xl/comments3.xml><?xml version="1.0" encoding="utf-8"?>
<comments xmlns="http://schemas.openxmlformats.org/spreadsheetml/2006/main">
  <authors>
    <author>stano</author>
  </authors>
  <commentList>
    <comment ref="B69" authorId="0" shapeId="0">
      <text>
        <r>
          <rPr>
            <b/>
            <sz val="9"/>
            <rFont val="Times New Roman"/>
            <family val="1"/>
            <charset val="238"/>
          </rPr>
          <t>stano:</t>
        </r>
        <r>
          <rPr>
            <sz val="9"/>
            <rFont val="Times New Roman"/>
            <family val="1"/>
            <charset val="238"/>
          </rPr>
          <t xml:space="preserve">
1.6.2020 pretransformovany na Institut manazmentu UCM</t>
        </r>
      </text>
    </comment>
  </commentList>
</comments>
</file>

<file path=xl/sharedStrings.xml><?xml version="1.0" encoding="utf-8"?>
<sst xmlns="http://schemas.openxmlformats.org/spreadsheetml/2006/main" count="1419" uniqueCount="363">
  <si>
    <t>VS_NAZOV</t>
  </si>
  <si>
    <t>FAKULTA_NAZOV / sucasti</t>
  </si>
  <si>
    <t>počet</t>
  </si>
  <si>
    <t>Univerzita Komenského v Bratislave</t>
  </si>
  <si>
    <t>Právnická fakulta UK</t>
  </si>
  <si>
    <t>pedagogické vedy</t>
  </si>
  <si>
    <t>humanitné vedy</t>
  </si>
  <si>
    <t>historické vedy a etnológia</t>
  </si>
  <si>
    <t>umenie</t>
  </si>
  <si>
    <t>projektovanie, inžinierstvo, technológie a vodné hospodárstvo</t>
  </si>
  <si>
    <t>spoločenské a behaviorálne vedy</t>
  </si>
  <si>
    <t>právo a medzinárodné vzťahy</t>
  </si>
  <si>
    <t>ekonómia a manažment</t>
  </si>
  <si>
    <t>fyzika</t>
  </si>
  <si>
    <t>vedy o Zemi a vesmíre</t>
  </si>
  <si>
    <t>environmentalistika a ekológia</t>
  </si>
  <si>
    <t>metalurgické a montánne vedy</t>
  </si>
  <si>
    <t>chémia, chemická technológia a biotechnológie</t>
  </si>
  <si>
    <t>vedy o živej prírode</t>
  </si>
  <si>
    <t>strojárstvo</t>
  </si>
  <si>
    <t>elektrotechnika a elektroenergetika</t>
  </si>
  <si>
    <t>informatické vedy, automatizácia a telekomunikácie</t>
  </si>
  <si>
    <t>inžinierstvo a technológie</t>
  </si>
  <si>
    <t>lekárske, farmaceutické a nelekárske zdravotnícke vedy</t>
  </si>
  <si>
    <t>poľnohospodárske a lesnícke vedy</t>
  </si>
  <si>
    <t>veterinárske vedy</t>
  </si>
  <si>
    <t>vedy o športe</t>
  </si>
  <si>
    <t>dopravné služby</t>
  </si>
  <si>
    <t>bezpečnostné služby</t>
  </si>
  <si>
    <t>matematika a štatistika</t>
  </si>
  <si>
    <t>Pedagogická fakulta UK</t>
  </si>
  <si>
    <t>Filozofická fakulta UK</t>
  </si>
  <si>
    <t>Jesseniova lekárska fakulta UK</t>
  </si>
  <si>
    <t>Fakulta managementu UK</t>
  </si>
  <si>
    <t>Prírodovedecká fakulta UK</t>
  </si>
  <si>
    <t>Fakulta matematiky, fyziky a informatiky UK</t>
  </si>
  <si>
    <t>Lekárska fakulta UK</t>
  </si>
  <si>
    <t>Fakulta telesnej výchovy a športu UK</t>
  </si>
  <si>
    <t>Fakulta sociálnych a ekonomických vied UK</t>
  </si>
  <si>
    <t>Evanjelická bohoslovecká fakulta UK</t>
  </si>
  <si>
    <t>Rímskokatolícka cyrilometodská bohoslovecká fakulta UK</t>
  </si>
  <si>
    <t>Farmaceutická fakulta UK</t>
  </si>
  <si>
    <t>Vedecký park UK</t>
  </si>
  <si>
    <t>Slovenská technická univerzita v Bratislave</t>
  </si>
  <si>
    <t>Ústav manažmentu STU</t>
  </si>
  <si>
    <t>Fakulta architektúry</t>
  </si>
  <si>
    <t>Materiálovotechnologická fakulta so sídlom v Trnave</t>
  </si>
  <si>
    <t>Stavebná fakulta STU v Bratislave</t>
  </si>
  <si>
    <t>Strojnícka fakulta Slovenskej technickej univerzity v Bratislave</t>
  </si>
  <si>
    <t>Fakulta elektrotechniky a informatiky</t>
  </si>
  <si>
    <t>Fakulta chemickej a potravinárskej technológie</t>
  </si>
  <si>
    <t>Fakulta informatiky a informačných technológií</t>
  </si>
  <si>
    <t>Ekonomická univerzita v Bratislave</t>
  </si>
  <si>
    <t>Podnikovohospodárska fakulta v Košiciach</t>
  </si>
  <si>
    <t>Fakulta podnikového manažmentu</t>
  </si>
  <si>
    <t>Obchodná fakulta</t>
  </si>
  <si>
    <t>Národohospodárska fakulta</t>
  </si>
  <si>
    <t>Fakulta hospodárskej informatiky</t>
  </si>
  <si>
    <t>Fakulta aplikovaných jazykov</t>
  </si>
  <si>
    <t>Fakulta medzinárodných vzťahov</t>
  </si>
  <si>
    <t>Slovenská poľnohospodárska univerzita v Nitre</t>
  </si>
  <si>
    <t>Technická fakulta</t>
  </si>
  <si>
    <t>Fakulta ekonomiky a manažmentu</t>
  </si>
  <si>
    <t>Fakulta biotechnológie a potravinárstva</t>
  </si>
  <si>
    <t>Fakulta európskych štúdií a regionálneho rozvoja</t>
  </si>
  <si>
    <t>Fakulta agrobiológie a potravinových zdrojov</t>
  </si>
  <si>
    <t>Fakulta záhradníctva a krajinného inžinierstva</t>
  </si>
  <si>
    <t>Výskumné centrum AgroBioTech</t>
  </si>
  <si>
    <t>Technická univerzita vo Zvolene</t>
  </si>
  <si>
    <t>Ústav cudzích jazykov</t>
  </si>
  <si>
    <t>Drevárska fakulta</t>
  </si>
  <si>
    <t>Fakulta techniky</t>
  </si>
  <si>
    <t>Fakulta ekológie a environmentalistiky</t>
  </si>
  <si>
    <t>Lesnícka fakulta</t>
  </si>
  <si>
    <t>Vysoká škola výtvarných umení v Bratislave</t>
  </si>
  <si>
    <t>Pracoviská VŠVU</t>
  </si>
  <si>
    <t>Vysoká škola múzických umení v Bratislave</t>
  </si>
  <si>
    <t>Hudobná a tanečná fakulta VŠMU</t>
  </si>
  <si>
    <t>Divadelná fakulta VŠMU</t>
  </si>
  <si>
    <t>Filmová a televízna fakulta VŠMU</t>
  </si>
  <si>
    <t>Univerzita veterinárskeho lekárstva a farmácie v Košiciach</t>
  </si>
  <si>
    <t>Pracoviská UVLF</t>
  </si>
  <si>
    <t>Univerzitná veterinárna nemocnica</t>
  </si>
  <si>
    <t>Technická univerzita v Košiciach</t>
  </si>
  <si>
    <t>Strojnícka fakulta</t>
  </si>
  <si>
    <t>Fakulta výrobných technológií</t>
  </si>
  <si>
    <t>Fakulta baníctva, ekológie, riadenia a geotechnológií</t>
  </si>
  <si>
    <t>Stavebná fakulta</t>
  </si>
  <si>
    <t>Letecká fakulta</t>
  </si>
  <si>
    <t>Ekonomická fakulta</t>
  </si>
  <si>
    <t>Fakulta materiálov, metalurgie a recyklácie</t>
  </si>
  <si>
    <t>Fakulta umení</t>
  </si>
  <si>
    <t>Žilinská univerzita v Žiline</t>
  </si>
  <si>
    <t>Fakulta riadenia a informatiky</t>
  </si>
  <si>
    <t>Fakulta bezpečnostného inžinierstva</t>
  </si>
  <si>
    <t>Fakulta humanitných vied</t>
  </si>
  <si>
    <t>Fakulta prevádzky a ekonomiky dopravy a spojov</t>
  </si>
  <si>
    <t>Fakulta elektrotechniky a informačných technológií</t>
  </si>
  <si>
    <t>Celouniverzitné pracovisko ŽU</t>
  </si>
  <si>
    <t>Univerzita Pavla Jozefa Šafárika v Košiciach</t>
  </si>
  <si>
    <t>Filozofická fakulta</t>
  </si>
  <si>
    <t>Právnická fakulta</t>
  </si>
  <si>
    <t>Lekárska fakulta, Košice</t>
  </si>
  <si>
    <t>Prírodovedecká fakulta</t>
  </si>
  <si>
    <t>Fakulta verejnej správy</t>
  </si>
  <si>
    <t>Celouniverzitné pracovisko UPJŠ</t>
  </si>
  <si>
    <t>Trnavská univerzita v Trnave</t>
  </si>
  <si>
    <t>Pedagogická fakulta</t>
  </si>
  <si>
    <t>Teologická fakulta</t>
  </si>
  <si>
    <t>Fakulta zdravotníctva a sociálnej práce</t>
  </si>
  <si>
    <t>Ústav dejín Trnavskej univerzity</t>
  </si>
  <si>
    <t>Univerzita Mateja Bela v Banskej Bystrici</t>
  </si>
  <si>
    <t>Fakulta politických vied a medzinárodných vzťahov</t>
  </si>
  <si>
    <t>Fakulta prírodných vied</t>
  </si>
  <si>
    <t>Univerzita Konštantína Filozofa v Nitre</t>
  </si>
  <si>
    <t>Fakulta sociálnych vied a zdravotníctva</t>
  </si>
  <si>
    <t>Pedagogická fakulta UKF</t>
  </si>
  <si>
    <t>Fakulta stredoeurópskych štúdií</t>
  </si>
  <si>
    <t>Prešovská univerzita v Prešove</t>
  </si>
  <si>
    <t>Fakulta humanitných a prírodných vied</t>
  </si>
  <si>
    <t>Fakulta manažmentu</t>
  </si>
  <si>
    <t>Fakulta športu</t>
  </si>
  <si>
    <t>Fakulta zdravotníckych odborov</t>
  </si>
  <si>
    <t>Gréckokatolícka teologická fakulta</t>
  </si>
  <si>
    <t>Pravoslávna bohoslovecká fakulta</t>
  </si>
  <si>
    <t>Akadémia umení</t>
  </si>
  <si>
    <t>Fakulta výtvarných umení</t>
  </si>
  <si>
    <t>Fakulta dramatických umení</t>
  </si>
  <si>
    <t>Fakulta múzických umení</t>
  </si>
  <si>
    <t>Trenčianska univerzita Alexandra Dubčeka v Trenčíne</t>
  </si>
  <si>
    <t>Fakulta sociálno-ekonomických vzťahov</t>
  </si>
  <si>
    <t>Fakulta zdravotníctva</t>
  </si>
  <si>
    <t>Fakulta špeciálnej techniky</t>
  </si>
  <si>
    <t>FunGlass - Centrum pre funkčné a povrchovo funkcionalizované sklá</t>
  </si>
  <si>
    <t>Fakulta priemyselných technológií v Púchove</t>
  </si>
  <si>
    <t>Univerzita sv. Cyrila a Metoda v Trnave</t>
  </si>
  <si>
    <t>Fakulta sociálnych  vied</t>
  </si>
  <si>
    <t>Fakulta masmediálnej komunikácie</t>
  </si>
  <si>
    <t>Inštitút fyzioterapie, balneológie a liečebnej rehabilitácie</t>
  </si>
  <si>
    <t>Ústav občianskej spoločnosti</t>
  </si>
  <si>
    <t>Katolícka univerzita v Ružomberku</t>
  </si>
  <si>
    <t>Univerzita J. Selyeho</t>
  </si>
  <si>
    <t>Fakulta ekonómie a informatiky</t>
  </si>
  <si>
    <t>Reformovaná teologická fakulta</t>
  </si>
  <si>
    <t>SPOLU</t>
  </si>
  <si>
    <t>Centrum jazykov a kultúr národnostných menšín</t>
  </si>
  <si>
    <t>Centrum celoživotného a kompetenčného vzdelávania</t>
  </si>
  <si>
    <t>Celouniverzitné pracovisko - Katedra politológie</t>
  </si>
  <si>
    <t>objem_zahr_granty</t>
  </si>
  <si>
    <t>výkon_publikácie</t>
  </si>
  <si>
    <t>váha 75%</t>
  </si>
  <si>
    <t>váha 25%</t>
  </si>
  <si>
    <t>váha 60%</t>
  </si>
  <si>
    <t>váha 40%</t>
  </si>
  <si>
    <t>výkon_total</t>
  </si>
  <si>
    <t>podiel</t>
  </si>
  <si>
    <t>podiel/zamest.</t>
  </si>
  <si>
    <t>%podiel</t>
  </si>
  <si>
    <t>suma</t>
  </si>
  <si>
    <t>váha 100%</t>
  </si>
  <si>
    <t>% podiel</t>
  </si>
  <si>
    <t>podiel/zam.</t>
  </si>
  <si>
    <t>váha</t>
  </si>
  <si>
    <t>alokácia</t>
  </si>
  <si>
    <t>výkon_umenie</t>
  </si>
  <si>
    <t>výkon_total_ume</t>
  </si>
  <si>
    <t>suma/zamest.</t>
  </si>
  <si>
    <t>váhaP</t>
  </si>
  <si>
    <t>váhaN</t>
  </si>
  <si>
    <t>výkon_final</t>
  </si>
  <si>
    <t>objem_zahr_granty_21</t>
  </si>
  <si>
    <t>objem_zahr_granty_22</t>
  </si>
  <si>
    <t>váha_zam</t>
  </si>
  <si>
    <t>počet_zam</t>
  </si>
  <si>
    <t>výkon_model21</t>
  </si>
  <si>
    <t>výkon_model22</t>
  </si>
  <si>
    <t>výkon_podiel21</t>
  </si>
  <si>
    <t>výkon_podiel22</t>
  </si>
  <si>
    <t>váha_zam21</t>
  </si>
  <si>
    <t>podiel_exc21</t>
  </si>
  <si>
    <t>výkon_exc21</t>
  </si>
  <si>
    <t>výkon_exc22</t>
  </si>
  <si>
    <t>váha_zam22</t>
  </si>
  <si>
    <t>podiel_exc_22</t>
  </si>
  <si>
    <t>suma/zam22</t>
  </si>
  <si>
    <t>výkon_index22</t>
  </si>
  <si>
    <t>výkon_index_21</t>
  </si>
  <si>
    <t>výkon_pub/zam21</t>
  </si>
  <si>
    <t>výkon_pub/zam22</t>
  </si>
  <si>
    <t>%podiel_zam21</t>
  </si>
  <si>
    <t>%podiel_zam22</t>
  </si>
  <si>
    <t>výkon_zg/zam22</t>
  </si>
  <si>
    <t>výkon_zg/zam21</t>
  </si>
  <si>
    <t>výkon_index21</t>
  </si>
  <si>
    <t>Fakulta prírodných vied UMB</t>
  </si>
  <si>
    <t>Fakulta prírodných vied UKF</t>
  </si>
  <si>
    <t>Prírodovedecká fakulta UPJŠ</t>
  </si>
  <si>
    <t>Fakulta manažmentu PU</t>
  </si>
  <si>
    <t>Fakulta prírodných vied UCM</t>
  </si>
  <si>
    <t>Pedagogická fakulta KU</t>
  </si>
  <si>
    <t>podiel_exc22</t>
  </si>
  <si>
    <t>výkon_mono21</t>
  </si>
  <si>
    <t>výkon_indx/zam21</t>
  </si>
  <si>
    <t>%podiel_mono_zam21</t>
  </si>
  <si>
    <t>M1_PRIR</t>
  </si>
  <si>
    <t>M2_TECH</t>
  </si>
  <si>
    <t>M3_LEK</t>
  </si>
  <si>
    <t>M4_POL</t>
  </si>
  <si>
    <t>M5_SPOL</t>
  </si>
  <si>
    <t>M6_HUM</t>
  </si>
  <si>
    <t>granty</t>
  </si>
  <si>
    <t>publikácie</t>
  </si>
  <si>
    <t>model_22</t>
  </si>
  <si>
    <t>Slovenská technická univerzita</t>
  </si>
  <si>
    <t>Vysoká škola múzických umení</t>
  </si>
  <si>
    <t>Univerzita Mateja Bela</t>
  </si>
  <si>
    <t>Univerzita Konštantína Filozofa</t>
  </si>
  <si>
    <t>Prešovská univerzita</t>
  </si>
  <si>
    <t>Technická univerzita Zvolen</t>
  </si>
  <si>
    <t>Vysoká škola výtvarných umení</t>
  </si>
  <si>
    <t>Technická univerzita Košice</t>
  </si>
  <si>
    <t>VŠ</t>
  </si>
  <si>
    <t>zam</t>
  </si>
  <si>
    <t>výkon_22</t>
  </si>
  <si>
    <t>model22</t>
  </si>
  <si>
    <t>zostatok bez umenia</t>
  </si>
  <si>
    <t>60% (publikácie)</t>
  </si>
  <si>
    <t>podiely</t>
  </si>
  <si>
    <t>final_podiel</t>
  </si>
  <si>
    <t>váha_zam_22</t>
  </si>
  <si>
    <t>alokácia (70% exc)</t>
  </si>
  <si>
    <t>30% KA 2021</t>
  </si>
  <si>
    <t>alokácia (100%)</t>
  </si>
  <si>
    <t>M1</t>
  </si>
  <si>
    <t>M2</t>
  </si>
  <si>
    <t>M3</t>
  </si>
  <si>
    <t>M4</t>
  </si>
  <si>
    <t>M5</t>
  </si>
  <si>
    <t>M6</t>
  </si>
  <si>
    <t>vyk_index</t>
  </si>
  <si>
    <t>fit_index</t>
  </si>
  <si>
    <t>res_index</t>
  </si>
  <si>
    <t>z_pub_index</t>
  </si>
  <si>
    <t>vyk_grant</t>
  </si>
  <si>
    <t>fit_grant</t>
  </si>
  <si>
    <t>res_grant</t>
  </si>
  <si>
    <t>z_grant</t>
  </si>
  <si>
    <t>vyk_mon</t>
  </si>
  <si>
    <t>fit_mon</t>
  </si>
  <si>
    <t>z_pub_mon</t>
  </si>
  <si>
    <t>res_mon</t>
  </si>
  <si>
    <t>z_pub</t>
  </si>
  <si>
    <t>vyk_vystupy</t>
  </si>
  <si>
    <t>fit_vystupy</t>
  </si>
  <si>
    <t>res_vystupy</t>
  </si>
  <si>
    <t>z_vystupy</t>
  </si>
  <si>
    <t>rozdiel</t>
  </si>
  <si>
    <t>fit_index_correct</t>
  </si>
  <si>
    <t>res_index_correct</t>
  </si>
  <si>
    <t>z_pub_index_correct</t>
  </si>
  <si>
    <t>výk_model22_correct</t>
  </si>
  <si>
    <t>výkon_model22_correct</t>
  </si>
  <si>
    <t>suma_correct</t>
  </si>
  <si>
    <t>vyk_index_correct</t>
  </si>
  <si>
    <t>M6_UM_VIZUAL</t>
  </si>
  <si>
    <t>M6_UM_PERFORM</t>
  </si>
  <si>
    <t>umelecké výkony</t>
  </si>
  <si>
    <t>01 uk</t>
  </si>
  <si>
    <t>07 umb</t>
  </si>
  <si>
    <t>08 truni</t>
  </si>
  <si>
    <t>Filozofická fakulta TU</t>
  </si>
  <si>
    <t>Pedagogická fakulta TU</t>
  </si>
  <si>
    <t>09 stu</t>
  </si>
  <si>
    <t xml:space="preserve">Stavebná fakulta </t>
  </si>
  <si>
    <t>10 tuke</t>
  </si>
  <si>
    <t>11 zu</t>
  </si>
  <si>
    <t>15 tuzvo</t>
  </si>
  <si>
    <t>17 vsvu</t>
  </si>
  <si>
    <t>Nemá fakulty</t>
  </si>
  <si>
    <t>18 au</t>
  </si>
  <si>
    <t>Univerzita Komenského</t>
  </si>
  <si>
    <t>Trnavská univerzita</t>
  </si>
  <si>
    <t>Žilinská univerzita</t>
  </si>
  <si>
    <t>03 pu</t>
  </si>
  <si>
    <t>06 ukf</t>
  </si>
  <si>
    <t>16 vsmu</t>
  </si>
  <si>
    <t>Divadelná fakulta</t>
  </si>
  <si>
    <t>Filmová a televízna fakulta</t>
  </si>
  <si>
    <t>Hudobná a tanečná fakulta</t>
  </si>
  <si>
    <t>Rektorát</t>
  </si>
  <si>
    <t>Fakulta muzických umení</t>
  </si>
  <si>
    <t>19 ku</t>
  </si>
  <si>
    <t>Teologická fakulta v Košiciach</t>
  </si>
  <si>
    <t>Vysoká škola muzických umení</t>
  </si>
  <si>
    <t>Katolícka univerzita</t>
  </si>
  <si>
    <t>Vizuálna časť</t>
  </si>
  <si>
    <t>Performatívna časť</t>
  </si>
  <si>
    <t>výkon</t>
  </si>
  <si>
    <t>fit_výkon</t>
  </si>
  <si>
    <t>res_výkon</t>
  </si>
  <si>
    <t>z_výkon</t>
  </si>
  <si>
    <t>exc</t>
  </si>
  <si>
    <t>podiel_exc</t>
  </si>
  <si>
    <t>suma/zam</t>
  </si>
  <si>
    <t>spolu 2019+2020</t>
  </si>
  <si>
    <t>Počet záznamov</t>
  </si>
  <si>
    <t>Prepočet cez váhy</t>
  </si>
  <si>
    <t>vyk-V</t>
  </si>
  <si>
    <t>VVŠ</t>
  </si>
  <si>
    <t>Fakulta</t>
  </si>
  <si>
    <t>ZZZ</t>
  </si>
  <si>
    <t>ZZY</t>
  </si>
  <si>
    <t>ZYZ</t>
  </si>
  <si>
    <t>ZYY</t>
  </si>
  <si>
    <t>spolu</t>
  </si>
  <si>
    <t>vyk-P</t>
  </si>
  <si>
    <t>SD</t>
  </si>
  <si>
    <t>z_grant_formula</t>
  </si>
  <si>
    <t>z_pub_index_formula</t>
  </si>
  <si>
    <t>mean_res_g</t>
  </si>
  <si>
    <t>mean_res_pub</t>
  </si>
  <si>
    <t>podiel_exc22_correct</t>
  </si>
  <si>
    <t>výk_exc22_correct</t>
  </si>
  <si>
    <t>váha_zam22_correct</t>
  </si>
  <si>
    <t>suma/zam22_correct</t>
  </si>
  <si>
    <t>rozdiely</t>
  </si>
  <si>
    <t>sumy</t>
  </si>
  <si>
    <t>%</t>
  </si>
  <si>
    <t>vyk_grant_correct</t>
  </si>
  <si>
    <t>granty_correct</t>
  </si>
  <si>
    <t>publikácie_correct</t>
  </si>
  <si>
    <t>granty_nespárované</t>
  </si>
  <si>
    <t>podiel_correct</t>
  </si>
  <si>
    <t>final_podiel_correct</t>
  </si>
  <si>
    <t>podiely_correct</t>
  </si>
  <si>
    <t>z_pub_correct</t>
  </si>
  <si>
    <t>fit_grant_correct</t>
  </si>
  <si>
    <t>res_grant_correct</t>
  </si>
  <si>
    <t>z_grant_correct</t>
  </si>
  <si>
    <t>výkon_22_correct</t>
  </si>
  <si>
    <t>výkon_correct</t>
  </si>
  <si>
    <t>alokácia_correct</t>
  </si>
  <si>
    <t>podiel_exc_22_correct</t>
  </si>
  <si>
    <t>váha_zam_22_correct</t>
  </si>
  <si>
    <t>korekcia2022</t>
  </si>
  <si>
    <t>suma_correct_fin</t>
  </si>
  <si>
    <t>výkon_model22_correct_fin</t>
  </si>
  <si>
    <t>výk_exc_22_correct_fin</t>
  </si>
  <si>
    <t>podiel_exc_22_correct_fin</t>
  </si>
  <si>
    <t>váha_zam22_correct_fin</t>
  </si>
  <si>
    <t>suma/zam22_correct_fin</t>
  </si>
  <si>
    <t>výkon_model_22_correct</t>
  </si>
  <si>
    <t>výkon_exc22_correct</t>
  </si>
  <si>
    <t>mean_res_p</t>
  </si>
  <si>
    <t>výk22_exc</t>
  </si>
  <si>
    <t>výk22_exc_correct</t>
  </si>
  <si>
    <t>podiel_exc_22correct</t>
  </si>
  <si>
    <t>suma/zam22correct</t>
  </si>
  <si>
    <t>model_22correct</t>
  </si>
  <si>
    <t>exc22</t>
  </si>
  <si>
    <t>exc_22correct</t>
  </si>
  <si>
    <t>podiel_exc22correct</t>
  </si>
  <si>
    <t>váha_correct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</si>
</sst>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00"/>
    <numFmt numFmtId="165" formatCode="#,##0.000"/>
    <numFmt numFmtId="166" formatCode="0.0000"/>
    <numFmt numFmtId="167" formatCode="#,##0.00\ &quot;€&quot;"/>
    <numFmt numFmtId="168" formatCode="0.0"/>
    <numFmt numFmtId="169" formatCode="_-* #,##0\ _€_-;\-* #,##0\ _€_-;_-* &quot;-&quot;??\ _€_-;_-@_-"/>
    <numFmt numFmtId="170" formatCode="#,##0.0000"/>
    <numFmt numFmtId="171" formatCode="#,##0_ ;\-#,##0\ "/>
  </numFmts>
  <fonts count="2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rgb="FF000000"/>
      </patternFill>
    </fill>
  </fills>
  <borders count="47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43" fontId="6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250">
    <xf numFmtId="0" fontId="0" fillId="0" borderId="0" xfId="0"/>
    <xf numFmtId="0" fontId="13" fillId="0" borderId="0" xfId="0" applyFont="1"/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0" borderId="0" xfId="0" applyFont="1" applyAlignment="1">
      <alignment wrapText="1"/>
    </xf>
    <xf numFmtId="0" fontId="0" fillId="0" borderId="1" xfId="0" applyBorder="1"/>
    <xf numFmtId="0" fontId="0" fillId="0" borderId="0" xfId="0" applyFont="1" applyFill="1" applyAlignment="1"/>
    <xf numFmtId="0" fontId="0" fillId="3" borderId="1" xfId="0" applyFill="1" applyBorder="1"/>
    <xf numFmtId="0" fontId="13" fillId="0" borderId="0" xfId="0" applyFont="1" applyFill="1" applyAlignment="1"/>
    <xf numFmtId="0" fontId="14" fillId="0" borderId="0" xfId="0" applyFont="1" applyFill="1" applyAlignment="1"/>
    <xf numFmtId="0" fontId="0" fillId="0" borderId="2" xfId="0" applyFont="1" applyFill="1" applyBorder="1" applyAlignment="1"/>
    <xf numFmtId="0" fontId="0" fillId="4" borderId="2" xfId="0" applyFont="1" applyFill="1" applyBorder="1" applyAlignment="1"/>
    <xf numFmtId="0" fontId="15" fillId="0" borderId="0" xfId="1" applyFont="1" applyProtection="1">
      <protection locked="0"/>
    </xf>
    <xf numFmtId="0" fontId="0" fillId="0" borderId="0" xfId="0" applyFont="1" applyFill="1" applyBorder="1" applyAlignment="1"/>
    <xf numFmtId="0" fontId="0" fillId="0" borderId="0" xfId="0" applyFill="1"/>
    <xf numFmtId="0" fontId="19" fillId="0" borderId="0" xfId="0" applyFont="1"/>
    <xf numFmtId="0" fontId="19" fillId="0" borderId="0" xfId="0" applyFont="1" applyFill="1"/>
    <xf numFmtId="0" fontId="12" fillId="0" borderId="0" xfId="0" applyFont="1" applyFill="1"/>
    <xf numFmtId="0" fontId="0" fillId="4" borderId="0" xfId="0" applyFont="1" applyFill="1" applyBorder="1" applyAlignment="1"/>
    <xf numFmtId="0" fontId="12" fillId="0" borderId="0" xfId="0" applyFont="1"/>
    <xf numFmtId="9" fontId="12" fillId="0" borderId="0" xfId="0" applyNumberFormat="1" applyFont="1"/>
    <xf numFmtId="164" fontId="0" fillId="0" borderId="0" xfId="0" applyNumberFormat="1"/>
    <xf numFmtId="0" fontId="20" fillId="0" borderId="0" xfId="0" applyFont="1" applyAlignment="1">
      <alignment horizontal="right"/>
    </xf>
    <xf numFmtId="164" fontId="0" fillId="5" borderId="0" xfId="0" applyNumberFormat="1" applyFill="1"/>
    <xf numFmtId="164" fontId="0" fillId="0" borderId="0" xfId="0" applyNumberFormat="1" applyFill="1"/>
    <xf numFmtId="164" fontId="0" fillId="6" borderId="0" xfId="0" applyNumberFormat="1" applyFill="1"/>
    <xf numFmtId="0" fontId="0" fillId="7" borderId="0" xfId="0" applyFill="1"/>
    <xf numFmtId="0" fontId="0" fillId="7" borderId="0" xfId="0" applyFont="1" applyFill="1" applyAlignment="1"/>
    <xf numFmtId="0" fontId="14" fillId="7" borderId="0" xfId="0" applyFont="1" applyFill="1" applyAlignment="1"/>
    <xf numFmtId="164" fontId="19" fillId="0" borderId="0" xfId="0" applyNumberFormat="1" applyFont="1"/>
    <xf numFmtId="0" fontId="13" fillId="7" borderId="0" xfId="0" applyFont="1" applyFill="1" applyAlignment="1"/>
    <xf numFmtId="0" fontId="21" fillId="0" borderId="0" xfId="0" applyFont="1" applyFill="1" applyAlignment="1"/>
    <xf numFmtId="3" fontId="0" fillId="0" borderId="0" xfId="0" applyNumberFormat="1"/>
    <xf numFmtId="3" fontId="19" fillId="0" borderId="0" xfId="0" applyNumberFormat="1" applyFont="1"/>
    <xf numFmtId="165" fontId="0" fillId="0" borderId="0" xfId="0" applyNumberFormat="1"/>
    <xf numFmtId="4" fontId="0" fillId="0" borderId="0" xfId="0" applyNumberFormat="1"/>
    <xf numFmtId="0" fontId="21" fillId="0" borderId="0" xfId="0" applyFont="1" applyFill="1" applyBorder="1" applyAlignment="1"/>
    <xf numFmtId="0" fontId="20" fillId="0" borderId="0" xfId="0" applyFont="1"/>
    <xf numFmtId="166" fontId="0" fillId="0" borderId="0" xfId="0" applyNumberFormat="1"/>
    <xf numFmtId="166" fontId="19" fillId="0" borderId="0" xfId="0" applyNumberFormat="1" applyFont="1"/>
    <xf numFmtId="166" fontId="0" fillId="5" borderId="0" xfId="0" applyNumberFormat="1" applyFill="1"/>
    <xf numFmtId="0" fontId="11" fillId="0" borderId="0" xfId="0" applyFont="1" applyFill="1"/>
    <xf numFmtId="3" fontId="11" fillId="0" borderId="0" xfId="0" applyNumberFormat="1" applyFont="1"/>
    <xf numFmtId="0" fontId="0" fillId="2" borderId="0" xfId="0" applyFont="1" applyFill="1" applyAlignment="1">
      <alignment horizontal="center" vertical="center" wrapText="1"/>
    </xf>
    <xf numFmtId="0" fontId="11" fillId="3" borderId="1" xfId="0" applyFont="1" applyFill="1" applyBorder="1"/>
    <xf numFmtId="166" fontId="0" fillId="6" borderId="0" xfId="0" applyNumberFormat="1" applyFill="1"/>
    <xf numFmtId="166" fontId="0" fillId="0" borderId="0" xfId="0" applyNumberFormat="1" applyFill="1"/>
    <xf numFmtId="166" fontId="19" fillId="0" borderId="0" xfId="0" applyNumberFormat="1" applyFont="1" applyFill="1"/>
    <xf numFmtId="4" fontId="19" fillId="0" borderId="0" xfId="0" applyNumberFormat="1" applyFont="1"/>
    <xf numFmtId="0" fontId="0" fillId="2" borderId="0" xfId="0" applyFill="1"/>
    <xf numFmtId="166" fontId="0" fillId="2" borderId="0" xfId="0" applyNumberFormat="1" applyFill="1"/>
    <xf numFmtId="0" fontId="13" fillId="7" borderId="0" xfId="0" applyFont="1" applyFill="1"/>
    <xf numFmtId="164" fontId="13" fillId="0" borderId="0" xfId="0" applyNumberFormat="1" applyFont="1"/>
    <xf numFmtId="3" fontId="13" fillId="0" borderId="0" xfId="0" applyNumberFormat="1" applyFont="1"/>
    <xf numFmtId="3" fontId="20" fillId="0" borderId="0" xfId="0" applyNumberFormat="1" applyFont="1"/>
    <xf numFmtId="166" fontId="13" fillId="0" borderId="0" xfId="0" applyNumberFormat="1" applyFont="1"/>
    <xf numFmtId="4" fontId="20" fillId="0" borderId="0" xfId="0" applyNumberFormat="1" applyFont="1"/>
    <xf numFmtId="2" fontId="0" fillId="0" borderId="0" xfId="0" applyNumberFormat="1"/>
    <xf numFmtId="2" fontId="13" fillId="0" borderId="0" xfId="0" applyNumberFormat="1" applyFont="1"/>
    <xf numFmtId="4" fontId="13" fillId="0" borderId="0" xfId="0" applyNumberFormat="1" applyFont="1"/>
    <xf numFmtId="0" fontId="13" fillId="0" borderId="0" xfId="0" applyFont="1" applyFill="1"/>
    <xf numFmtId="166" fontId="20" fillId="0" borderId="0" xfId="0" applyNumberFormat="1" applyFont="1"/>
    <xf numFmtId="4" fontId="20" fillId="2" borderId="0" xfId="0" applyNumberFormat="1" applyFont="1" applyFill="1"/>
    <xf numFmtId="2" fontId="20" fillId="0" borderId="0" xfId="0" applyNumberFormat="1" applyFont="1"/>
    <xf numFmtId="10" fontId="0" fillId="0" borderId="0" xfId="0" applyNumberFormat="1"/>
    <xf numFmtId="4" fontId="13" fillId="2" borderId="0" xfId="0" applyNumberFormat="1" applyFont="1" applyFill="1"/>
    <xf numFmtId="4" fontId="0" fillId="2" borderId="0" xfId="0" applyNumberFormat="1" applyFill="1"/>
    <xf numFmtId="4" fontId="0" fillId="0" borderId="0" xfId="0" applyNumberFormat="1" applyFill="1"/>
    <xf numFmtId="4" fontId="13" fillId="0" borderId="0" xfId="0" applyNumberFormat="1" applyFont="1" applyFill="1"/>
    <xf numFmtId="0" fontId="0" fillId="0" borderId="0" xfId="0" applyBorder="1"/>
    <xf numFmtId="3" fontId="0" fillId="5" borderId="0" xfId="0" applyNumberFormat="1" applyFill="1"/>
    <xf numFmtId="0" fontId="0" fillId="6" borderId="0" xfId="0" applyFill="1"/>
    <xf numFmtId="165" fontId="10" fillId="0" borderId="0" xfId="0" applyNumberFormat="1" applyFont="1"/>
    <xf numFmtId="167" fontId="13" fillId="0" borderId="0" xfId="0" applyNumberFormat="1" applyFont="1"/>
    <xf numFmtId="168" fontId="19" fillId="0" borderId="0" xfId="0" applyNumberFormat="1" applyFont="1"/>
    <xf numFmtId="3" fontId="0" fillId="0" borderId="0" xfId="0" applyNumberFormat="1" applyFill="1"/>
    <xf numFmtId="0" fontId="0" fillId="5" borderId="0" xfId="0" applyFill="1"/>
    <xf numFmtId="0" fontId="8" fillId="0" borderId="0" xfId="0" applyFont="1"/>
    <xf numFmtId="4" fontId="20" fillId="6" borderId="0" xfId="0" applyNumberFormat="1" applyFont="1" applyFill="1"/>
    <xf numFmtId="164" fontId="13" fillId="0" borderId="0" xfId="0" applyNumberFormat="1" applyFont="1" applyFill="1"/>
    <xf numFmtId="166" fontId="13" fillId="0" borderId="0" xfId="0" applyNumberFormat="1" applyFont="1" applyFill="1"/>
    <xf numFmtId="0" fontId="20" fillId="0" borderId="0" xfId="0" applyFont="1" applyFill="1"/>
    <xf numFmtId="0" fontId="13" fillId="0" borderId="1" xfId="0" applyFont="1" applyBorder="1" applyAlignment="1">
      <alignment wrapText="1"/>
    </xf>
    <xf numFmtId="9" fontId="11" fillId="0" borderId="3" xfId="0" applyNumberFormat="1" applyFont="1" applyBorder="1"/>
    <xf numFmtId="9" fontId="11" fillId="0" borderId="4" xfId="0" applyNumberFormat="1" applyFont="1" applyBorder="1"/>
    <xf numFmtId="0" fontId="12" fillId="0" borderId="4" xfId="0" applyFont="1" applyBorder="1"/>
    <xf numFmtId="0" fontId="12" fillId="0" borderId="4" xfId="0" applyFont="1" applyFill="1" applyBorder="1"/>
    <xf numFmtId="0" fontId="12" fillId="0" borderId="5" xfId="0" applyFont="1" applyFill="1" applyBorder="1"/>
    <xf numFmtId="0" fontId="13" fillId="0" borderId="6" xfId="0" applyFont="1" applyBorder="1"/>
    <xf numFmtId="0" fontId="13" fillId="0" borderId="0" xfId="0" applyFont="1" applyBorder="1"/>
    <xf numFmtId="0" fontId="13" fillId="0" borderId="0" xfId="0" applyFont="1" applyFill="1" applyBorder="1"/>
    <xf numFmtId="0" fontId="13" fillId="0" borderId="7" xfId="0" applyFont="1" applyFill="1" applyBorder="1"/>
    <xf numFmtId="0" fontId="0" fillId="0" borderId="6" xfId="0" applyFont="1" applyFill="1" applyBorder="1" applyAlignment="1"/>
    <xf numFmtId="164" fontId="0" fillId="0" borderId="0" xfId="0" applyNumberFormat="1" applyFont="1" applyFill="1" applyBorder="1" applyAlignment="1"/>
    <xf numFmtId="164" fontId="0" fillId="0" borderId="0" xfId="0" applyNumberFormat="1" applyBorder="1"/>
    <xf numFmtId="164" fontId="0" fillId="0" borderId="7" xfId="0" applyNumberFormat="1" applyBorder="1"/>
    <xf numFmtId="164" fontId="0" fillId="0" borderId="0" xfId="0" applyNumberFormat="1" applyFill="1" applyBorder="1"/>
    <xf numFmtId="164" fontId="0" fillId="0" borderId="7" xfId="0" applyNumberFormat="1" applyFill="1" applyBorder="1"/>
    <xf numFmtId="0" fontId="21" fillId="0" borderId="6" xfId="0" applyFont="1" applyFill="1" applyBorder="1" applyAlignment="1"/>
    <xf numFmtId="0" fontId="21" fillId="0" borderId="8" xfId="0" applyFont="1" applyFill="1" applyBorder="1" applyAlignment="1"/>
    <xf numFmtId="0" fontId="21" fillId="0" borderId="9" xfId="0" applyFont="1" applyFill="1" applyBorder="1" applyAlignment="1"/>
    <xf numFmtId="164" fontId="0" fillId="0" borderId="9" xfId="0" applyNumberFormat="1" applyFont="1" applyFill="1" applyBorder="1" applyAlignment="1"/>
    <xf numFmtId="164" fontId="0" fillId="0" borderId="9" xfId="0" applyNumberFormat="1" applyFill="1" applyBorder="1"/>
    <xf numFmtId="164" fontId="0" fillId="0" borderId="10" xfId="0" applyNumberFormat="1" applyFill="1" applyBorder="1"/>
    <xf numFmtId="0" fontId="0" fillId="0" borderId="6" xfId="0" applyFill="1" applyBorder="1"/>
    <xf numFmtId="166" fontId="0" fillId="0" borderId="0" xfId="0" applyNumberFormat="1" applyFill="1" applyBorder="1"/>
    <xf numFmtId="166" fontId="0" fillId="0" borderId="7" xfId="0" applyNumberFormat="1" applyFill="1" applyBorder="1"/>
    <xf numFmtId="0" fontId="14" fillId="0" borderId="6" xfId="0" applyFont="1" applyFill="1" applyBorder="1" applyAlignment="1"/>
    <xf numFmtId="0" fontId="14" fillId="0" borderId="0" xfId="0" applyFont="1" applyFill="1" applyBorder="1" applyAlignment="1"/>
    <xf numFmtId="0" fontId="14" fillId="0" borderId="8" xfId="0" applyFont="1" applyFill="1" applyBorder="1" applyAlignment="1"/>
    <xf numFmtId="0" fontId="14" fillId="0" borderId="9" xfId="0" applyFont="1" applyFill="1" applyBorder="1" applyAlignment="1"/>
    <xf numFmtId="164" fontId="0" fillId="0" borderId="9" xfId="0" applyNumberFormat="1" applyBorder="1"/>
    <xf numFmtId="166" fontId="0" fillId="0" borderId="9" xfId="0" applyNumberFormat="1" applyFill="1" applyBorder="1"/>
    <xf numFmtId="166" fontId="0" fillId="0" borderId="10" xfId="0" applyNumberFormat="1" applyFill="1" applyBorder="1"/>
    <xf numFmtId="3" fontId="13" fillId="0" borderId="0" xfId="0" applyNumberFormat="1" applyFont="1" applyFill="1"/>
    <xf numFmtId="0" fontId="8" fillId="3" borderId="1" xfId="0" applyFont="1" applyFill="1" applyBorder="1"/>
    <xf numFmtId="0" fontId="8" fillId="0" borderId="1" xfId="0" applyFont="1" applyBorder="1"/>
    <xf numFmtId="1" fontId="0" fillId="0" borderId="0" xfId="0" applyNumberFormat="1"/>
    <xf numFmtId="164" fontId="9" fillId="0" borderId="0" xfId="0" applyNumberFormat="1" applyFont="1" applyBorder="1"/>
    <xf numFmtId="0" fontId="13" fillId="0" borderId="6" xfId="0" applyFont="1" applyFill="1" applyBorder="1"/>
    <xf numFmtId="164" fontId="13" fillId="0" borderId="0" xfId="0" applyNumberFormat="1" applyFont="1" applyBorder="1"/>
    <xf numFmtId="164" fontId="13" fillId="0" borderId="7" xfId="0" applyNumberFormat="1" applyFont="1" applyBorder="1"/>
    <xf numFmtId="0" fontId="0" fillId="0" borderId="8" xfId="0" applyFill="1" applyBorder="1"/>
    <xf numFmtId="0" fontId="0" fillId="0" borderId="9" xfId="0" applyBorder="1"/>
    <xf numFmtId="164" fontId="0" fillId="0" borderId="10" xfId="0" applyNumberFormat="1" applyBorder="1"/>
    <xf numFmtId="4" fontId="8" fillId="0" borderId="0" xfId="0" applyNumberFormat="1" applyFont="1" applyFill="1"/>
    <xf numFmtId="166" fontId="0" fillId="0" borderId="0" xfId="0" applyNumberFormat="1" applyBorder="1"/>
    <xf numFmtId="166" fontId="0" fillId="0" borderId="7" xfId="0" applyNumberFormat="1" applyBorder="1"/>
    <xf numFmtId="166" fontId="13" fillId="0" borderId="0" xfId="0" applyNumberFormat="1" applyFont="1" applyBorder="1"/>
    <xf numFmtId="166" fontId="13" fillId="0" borderId="7" xfId="0" applyNumberFormat="1" applyFont="1" applyBorder="1"/>
    <xf numFmtId="0" fontId="0" fillId="0" borderId="7" xfId="0" applyBorder="1"/>
    <xf numFmtId="166" fontId="0" fillId="0" borderId="9" xfId="0" applyNumberFormat="1" applyBorder="1"/>
    <xf numFmtId="0" fontId="0" fillId="0" borderId="10" xfId="0" applyBorder="1"/>
    <xf numFmtId="167" fontId="13" fillId="0" borderId="0" xfId="0" applyNumberFormat="1" applyFont="1" applyFill="1"/>
    <xf numFmtId="4" fontId="20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/>
    <xf numFmtId="164" fontId="8" fillId="5" borderId="0" xfId="0" applyNumberFormat="1" applyFont="1" applyFill="1"/>
    <xf numFmtId="4" fontId="0" fillId="6" borderId="0" xfId="0" applyNumberFormat="1" applyFill="1"/>
    <xf numFmtId="4" fontId="22" fillId="0" borderId="0" xfId="0" applyNumberFormat="1" applyFont="1" applyFill="1"/>
    <xf numFmtId="4" fontId="19" fillId="2" borderId="0" xfId="0" applyNumberFormat="1" applyFont="1" applyFill="1"/>
    <xf numFmtId="0" fontId="7" fillId="0" borderId="0" xfId="0" applyFont="1"/>
    <xf numFmtId="4" fontId="0" fillId="5" borderId="0" xfId="0" applyNumberFormat="1" applyFill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4" fontId="13" fillId="6" borderId="0" xfId="0" applyNumberFormat="1" applyFont="1" applyFill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/>
    <xf numFmtId="0" fontId="13" fillId="0" borderId="1" xfId="0" applyFont="1" applyFill="1" applyBorder="1" applyAlignment="1">
      <alignment wrapText="1"/>
    </xf>
    <xf numFmtId="0" fontId="0" fillId="0" borderId="1" xfId="0" applyFill="1" applyBorder="1"/>
    <xf numFmtId="0" fontId="6" fillId="0" borderId="1" xfId="0" applyFont="1" applyFill="1" applyBorder="1"/>
    <xf numFmtId="0" fontId="15" fillId="0" borderId="0" xfId="1" applyFont="1" applyFill="1" applyProtection="1">
      <protection locked="0"/>
    </xf>
    <xf numFmtId="169" fontId="0" fillId="0" borderId="0" xfId="2" applyNumberFormat="1" applyFont="1"/>
    <xf numFmtId="0" fontId="18" fillId="0" borderId="0" xfId="1"/>
    <xf numFmtId="0" fontId="18" fillId="2" borderId="0" xfId="1" applyFill="1"/>
    <xf numFmtId="0" fontId="18" fillId="6" borderId="0" xfId="1" applyFill="1"/>
    <xf numFmtId="0" fontId="18" fillId="5" borderId="0" xfId="1" applyFill="1"/>
    <xf numFmtId="0" fontId="18" fillId="8" borderId="0" xfId="1" applyFill="1"/>
    <xf numFmtId="0" fontId="18" fillId="9" borderId="0" xfId="1" applyFill="1"/>
    <xf numFmtId="1" fontId="13" fillId="0" borderId="0" xfId="0" applyNumberFormat="1" applyFont="1"/>
    <xf numFmtId="164" fontId="8" fillId="0" borderId="0" xfId="0" applyNumberFormat="1" applyFont="1"/>
    <xf numFmtId="2" fontId="0" fillId="6" borderId="0" xfId="0" applyNumberFormat="1" applyFill="1"/>
    <xf numFmtId="0" fontId="5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13" fillId="0" borderId="2" xfId="0" applyFont="1" applyBorder="1"/>
    <xf numFmtId="0" fontId="0" fillId="0" borderId="14" xfId="0" applyBorder="1"/>
    <xf numFmtId="0" fontId="0" fillId="0" borderId="15" xfId="0" applyBorder="1"/>
    <xf numFmtId="0" fontId="5" fillId="0" borderId="13" xfId="0" applyFont="1" applyBorder="1"/>
    <xf numFmtId="0" fontId="5" fillId="0" borderId="14" xfId="0" applyFont="1" applyBorder="1"/>
    <xf numFmtId="0" fontId="5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10" borderId="21" xfId="0" applyFill="1" applyBorder="1"/>
    <xf numFmtId="0" fontId="0" fillId="10" borderId="22" xfId="0" applyFill="1" applyBorder="1"/>
    <xf numFmtId="0" fontId="0" fillId="10" borderId="23" xfId="0" applyFill="1" applyBorder="1"/>
    <xf numFmtId="0" fontId="0" fillId="10" borderId="24" xfId="0" applyFill="1" applyBorder="1"/>
    <xf numFmtId="1" fontId="23" fillId="11" borderId="25" xfId="0" applyNumberFormat="1" applyFont="1" applyFill="1" applyBorder="1"/>
    <xf numFmtId="1" fontId="23" fillId="11" borderId="22" xfId="0" applyNumberFormat="1" applyFont="1" applyFill="1" applyBorder="1"/>
    <xf numFmtId="1" fontId="23" fillId="11" borderId="23" xfId="0" applyNumberFormat="1" applyFont="1" applyFill="1" applyBorder="1"/>
    <xf numFmtId="0" fontId="13" fillId="0" borderId="16" xfId="0" applyFont="1" applyBorder="1"/>
    <xf numFmtId="0" fontId="13" fillId="0" borderId="0" xfId="0" applyFont="1" applyAlignment="1">
      <alignment horizontal="right"/>
    </xf>
    <xf numFmtId="0" fontId="13" fillId="0" borderId="16" xfId="0" applyFont="1" applyBorder="1" applyAlignment="1">
      <alignment horizontal="right"/>
    </xf>
    <xf numFmtId="0" fontId="13" fillId="7" borderId="26" xfId="0" applyFont="1" applyFill="1" applyBorder="1"/>
    <xf numFmtId="0" fontId="13" fillId="0" borderId="27" xfId="0" applyFont="1" applyBorder="1"/>
    <xf numFmtId="0" fontId="13" fillId="7" borderId="27" xfId="0" applyFont="1" applyFill="1" applyBorder="1"/>
    <xf numFmtId="0" fontId="13" fillId="0" borderId="28" xfId="0" applyFont="1" applyBorder="1"/>
    <xf numFmtId="0" fontId="13" fillId="0" borderId="0" xfId="0" applyFont="1" applyFill="1" applyBorder="1" applyAlignment="1">
      <alignment horizontal="right"/>
    </xf>
    <xf numFmtId="0" fontId="13" fillId="7" borderId="28" xfId="0" applyFont="1" applyFill="1" applyBorder="1"/>
    <xf numFmtId="170" fontId="0" fillId="0" borderId="0" xfId="0" applyNumberFormat="1"/>
    <xf numFmtId="0" fontId="13" fillId="0" borderId="0" xfId="0" applyFont="1" applyFill="1" applyAlignment="1">
      <alignment horizontal="right"/>
    </xf>
    <xf numFmtId="2" fontId="0" fillId="6" borderId="0" xfId="0" applyNumberFormat="1" applyFill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5" xfId="0" applyBorder="1"/>
    <xf numFmtId="0" fontId="0" fillId="0" borderId="17" xfId="0" applyBorder="1"/>
    <xf numFmtId="0" fontId="0" fillId="0" borderId="36" xfId="0" applyBorder="1"/>
    <xf numFmtId="0" fontId="0" fillId="0" borderId="37" xfId="0" applyBorder="1"/>
    <xf numFmtId="0" fontId="13" fillId="0" borderId="13" xfId="0" applyFont="1" applyBorder="1"/>
    <xf numFmtId="0" fontId="0" fillId="0" borderId="2" xfId="0" applyNumberFormat="1" applyBorder="1"/>
    <xf numFmtId="0" fontId="0" fillId="0" borderId="19" xfId="0" applyNumberFormat="1" applyBorder="1"/>
    <xf numFmtId="0" fontId="0" fillId="0" borderId="38" xfId="0" applyBorder="1"/>
    <xf numFmtId="0" fontId="13" fillId="0" borderId="14" xfId="0" applyFont="1" applyBorder="1"/>
    <xf numFmtId="0" fontId="0" fillId="0" borderId="15" xfId="0" applyNumberFormat="1" applyBorder="1"/>
    <xf numFmtId="0" fontId="0" fillId="0" borderId="20" xfId="0" applyNumberForma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31" xfId="0" applyBorder="1"/>
    <xf numFmtId="0" fontId="0" fillId="0" borderId="29" xfId="0" applyFill="1" applyBorder="1"/>
    <xf numFmtId="0" fontId="0" fillId="0" borderId="16" xfId="0" applyFill="1" applyBorder="1"/>
    <xf numFmtId="0" fontId="13" fillId="0" borderId="0" xfId="0" applyFont="1" applyAlignment="1">
      <alignment horizontal="left"/>
    </xf>
    <xf numFmtId="0" fontId="0" fillId="0" borderId="42" xfId="0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32" xfId="0" applyBorder="1"/>
    <xf numFmtId="0" fontId="0" fillId="0" borderId="42" xfId="0" applyBorder="1"/>
    <xf numFmtId="0" fontId="0" fillId="0" borderId="45" xfId="0" applyBorder="1"/>
    <xf numFmtId="0" fontId="0" fillId="0" borderId="46" xfId="0" applyFill="1" applyBorder="1"/>
    <xf numFmtId="0" fontId="4" fillId="0" borderId="0" xfId="0" applyFont="1"/>
    <xf numFmtId="3" fontId="3" fillId="0" borderId="0" xfId="0" applyNumberFormat="1" applyFont="1" applyFill="1" applyBorder="1"/>
    <xf numFmtId="3" fontId="0" fillId="0" borderId="0" xfId="0" applyNumberFormat="1" applyFill="1" applyBorder="1"/>
    <xf numFmtId="171" fontId="0" fillId="0" borderId="0" xfId="3" applyNumberFormat="1" applyFont="1"/>
    <xf numFmtId="3" fontId="0" fillId="6" borderId="0" xfId="0" applyNumberFormat="1" applyFill="1"/>
    <xf numFmtId="164" fontId="0" fillId="2" borderId="0" xfId="0" applyNumberFormat="1" applyFill="1"/>
    <xf numFmtId="0" fontId="2" fillId="0" borderId="0" xfId="0" applyFont="1"/>
    <xf numFmtId="165" fontId="19" fillId="0" borderId="0" xfId="0" applyNumberFormat="1" applyFont="1"/>
    <xf numFmtId="2" fontId="19" fillId="0" borderId="0" xfId="0" applyNumberFormat="1" applyFont="1"/>
    <xf numFmtId="2" fontId="13" fillId="2" borderId="0" xfId="0" applyNumberFormat="1" applyFont="1" applyFill="1"/>
    <xf numFmtId="4" fontId="25" fillId="0" borderId="0" xfId="0" applyNumberFormat="1" applyFont="1" applyFill="1" applyBorder="1"/>
    <xf numFmtId="4" fontId="25" fillId="12" borderId="0" xfId="0" applyNumberFormat="1" applyFont="1" applyFill="1" applyBorder="1"/>
    <xf numFmtId="4" fontId="26" fillId="0" borderId="0" xfId="0" applyNumberFormat="1" applyFont="1" applyFill="1" applyBorder="1"/>
    <xf numFmtId="0" fontId="13" fillId="6" borderId="0" xfId="0" applyFont="1" applyFill="1"/>
    <xf numFmtId="0" fontId="13" fillId="6" borderId="0" xfId="0" applyFont="1" applyFill="1" applyAlignment="1">
      <alignment horizontal="center" vertical="center"/>
    </xf>
    <xf numFmtId="0" fontId="1" fillId="0" borderId="0" xfId="0" applyFont="1"/>
    <xf numFmtId="164" fontId="8" fillId="6" borderId="0" xfId="0" applyNumberFormat="1" applyFont="1" applyFill="1"/>
    <xf numFmtId="2" fontId="0" fillId="0" borderId="0" xfId="0" applyNumberFormat="1" applyFill="1"/>
  </cellXfs>
  <cellStyles count="4">
    <cellStyle name="Čiarka" xfId="3" builtinId="3"/>
    <cellStyle name="Čiark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Q19" sqref="Q19"/>
    </sheetView>
  </sheetViews>
  <sheetFormatPr defaultRowHeight="15" x14ac:dyDescent="0.25"/>
  <cols>
    <col min="1" max="1" width="17.7109375" customWidth="1"/>
    <col min="2" max="2" width="18" bestFit="1" customWidth="1"/>
    <col min="3" max="3" width="16.5703125" bestFit="1" customWidth="1"/>
    <col min="4" max="4" width="16.5703125" customWidth="1"/>
    <col min="5" max="5" width="6.7109375" bestFit="1" customWidth="1"/>
    <col min="6" max="6" width="14" bestFit="1" customWidth="1"/>
    <col min="7" max="7" width="11.140625" bestFit="1" customWidth="1"/>
    <col min="8" max="8" width="13.85546875" bestFit="1" customWidth="1"/>
    <col min="9" max="9" width="19.28515625" bestFit="1" customWidth="1"/>
    <col min="10" max="10" width="6.7109375" bestFit="1" customWidth="1"/>
    <col min="11" max="11" width="14" bestFit="1" customWidth="1"/>
    <col min="12" max="12" width="8.5703125" bestFit="1" customWidth="1"/>
    <col min="13" max="13" width="11.7109375" bestFit="1" customWidth="1"/>
    <col min="14" max="14" width="19.140625" bestFit="1" customWidth="1"/>
    <col min="15" max="15" width="12.42578125" bestFit="1" customWidth="1"/>
    <col min="16" max="16" width="15" bestFit="1" customWidth="1"/>
  </cols>
  <sheetData>
    <row r="1" spans="1:16" x14ac:dyDescent="0.25">
      <c r="A1" s="1" t="s">
        <v>232</v>
      </c>
      <c r="B1" s="1" t="s">
        <v>230</v>
      </c>
      <c r="C1" s="1" t="s">
        <v>226</v>
      </c>
      <c r="D1" s="1"/>
      <c r="G1" s="39" t="s">
        <v>8</v>
      </c>
      <c r="H1" s="39"/>
      <c r="I1" s="39"/>
    </row>
    <row r="2" spans="1:16" x14ac:dyDescent="0.25">
      <c r="A2" s="144">
        <v>26884645.07</v>
      </c>
      <c r="B2" s="140">
        <f>A2-A4</f>
        <v>18658146.296399999</v>
      </c>
      <c r="C2" s="37">
        <f>B2*0.6</f>
        <v>11194887.77784</v>
      </c>
      <c r="D2" s="37"/>
      <c r="E2" s="37"/>
      <c r="F2" s="37"/>
      <c r="G2" s="140">
        <f>C2*0.1</f>
        <v>1119488.7777839999</v>
      </c>
      <c r="H2" s="140"/>
      <c r="I2" s="140"/>
    </row>
    <row r="3" spans="1:16" x14ac:dyDescent="0.25">
      <c r="A3" s="1" t="s">
        <v>231</v>
      </c>
      <c r="B3" s="1" t="s">
        <v>225</v>
      </c>
    </row>
    <row r="4" spans="1:16" x14ac:dyDescent="0.25">
      <c r="A4" s="144">
        <v>8226498.7736</v>
      </c>
      <c r="B4" s="140">
        <f>B2-G2</f>
        <v>17538657.518615998</v>
      </c>
    </row>
    <row r="5" spans="1:16" x14ac:dyDescent="0.25">
      <c r="A5" s="16"/>
      <c r="C5" s="1" t="s">
        <v>211</v>
      </c>
      <c r="D5" s="1" t="s">
        <v>330</v>
      </c>
      <c r="E5" s="1" t="s">
        <v>155</v>
      </c>
      <c r="F5" s="1" t="s">
        <v>332</v>
      </c>
      <c r="G5" s="1" t="s">
        <v>210</v>
      </c>
      <c r="H5" s="1" t="s">
        <v>329</v>
      </c>
      <c r="I5" s="1" t="s">
        <v>331</v>
      </c>
      <c r="J5" s="1" t="s">
        <v>155</v>
      </c>
      <c r="K5" s="1" t="s">
        <v>332</v>
      </c>
      <c r="M5" s="1" t="s">
        <v>228</v>
      </c>
      <c r="N5" s="1" t="s">
        <v>333</v>
      </c>
      <c r="O5" s="1" t="s">
        <v>227</v>
      </c>
      <c r="P5" s="1" t="s">
        <v>334</v>
      </c>
    </row>
    <row r="6" spans="1:16" x14ac:dyDescent="0.25">
      <c r="A6" s="138"/>
      <c r="B6" s="143" t="s">
        <v>204</v>
      </c>
      <c r="C6" s="34">
        <v>28658</v>
      </c>
      <c r="D6" s="34">
        <v>28765</v>
      </c>
      <c r="E6" s="36">
        <f t="shared" ref="E6:E11" si="0">C6/C$12</f>
        <v>0.36897128878588903</v>
      </c>
      <c r="F6" s="36">
        <f>D6/D$12</f>
        <v>0.36682096994274199</v>
      </c>
      <c r="G6" s="34">
        <v>5347944</v>
      </c>
      <c r="H6" s="34">
        <v>5530171</v>
      </c>
      <c r="I6" s="235"/>
      <c r="J6" s="36">
        <f t="shared" ref="J6:K11" si="1">G6/G$12</f>
        <v>0.26606922190654225</v>
      </c>
      <c r="K6" s="36">
        <f t="shared" si="1"/>
        <v>0.28494306415925896</v>
      </c>
      <c r="L6" s="143" t="s">
        <v>204</v>
      </c>
      <c r="M6" s="237">
        <f t="shared" ref="M6:N11" si="2">(0.6*E6)+(0.4*J6)</f>
        <v>0.32781046203415032</v>
      </c>
      <c r="N6" s="237">
        <f t="shared" si="2"/>
        <v>0.33406980762934879</v>
      </c>
      <c r="O6" s="68">
        <f t="shared" ref="O6:O11" si="3">M6*B$4</f>
        <v>5749355.4246362345</v>
      </c>
      <c r="P6" s="37">
        <f t="shared" ref="P6:P11" si="4">N6*B$4</f>
        <v>5859135.9433210781</v>
      </c>
    </row>
    <row r="7" spans="1:16" x14ac:dyDescent="0.25">
      <c r="A7" s="138"/>
      <c r="B7" s="143" t="s">
        <v>205</v>
      </c>
      <c r="C7" s="34">
        <v>19736</v>
      </c>
      <c r="D7" s="34">
        <v>20474</v>
      </c>
      <c r="E7" s="36">
        <f t="shared" si="0"/>
        <v>0.25410068237414701</v>
      </c>
      <c r="F7" s="36">
        <f t="shared" ref="F7:F11" si="5">D7/D$12</f>
        <v>0.26109134498896924</v>
      </c>
      <c r="G7" s="34">
        <v>7006819</v>
      </c>
      <c r="H7" s="34">
        <v>6652560</v>
      </c>
      <c r="I7" s="235">
        <v>109323</v>
      </c>
      <c r="J7" s="36">
        <f t="shared" si="1"/>
        <v>0.34860104731275732</v>
      </c>
      <c r="K7" s="36">
        <f t="shared" si="1"/>
        <v>0.34277436102849623</v>
      </c>
      <c r="L7" s="143" t="s">
        <v>205</v>
      </c>
      <c r="M7" s="237">
        <f t="shared" si="2"/>
        <v>0.29190082834959113</v>
      </c>
      <c r="N7" s="237">
        <f t="shared" si="2"/>
        <v>0.29376455140478008</v>
      </c>
      <c r="O7" s="68">
        <f t="shared" si="3"/>
        <v>5119548.6578237945</v>
      </c>
      <c r="P7" s="37">
        <f t="shared" si="4"/>
        <v>5152235.8581983019</v>
      </c>
    </row>
    <row r="8" spans="1:16" x14ac:dyDescent="0.25">
      <c r="A8" s="138"/>
      <c r="B8" s="143" t="s">
        <v>206</v>
      </c>
      <c r="C8" s="34">
        <v>14214</v>
      </c>
      <c r="D8" s="34">
        <v>14086</v>
      </c>
      <c r="E8" s="36">
        <f t="shared" si="0"/>
        <v>0.18300502124372345</v>
      </c>
      <c r="F8" s="36">
        <f t="shared" si="5"/>
        <v>0.17962941709068186</v>
      </c>
      <c r="G8" s="34">
        <v>970457</v>
      </c>
      <c r="H8" s="34">
        <v>980457</v>
      </c>
      <c r="I8" s="235"/>
      <c r="J8" s="36">
        <f t="shared" si="1"/>
        <v>4.8281870356861864E-2</v>
      </c>
      <c r="K8" s="36">
        <f t="shared" si="1"/>
        <v>5.0518224817350958E-2</v>
      </c>
      <c r="L8" s="143" t="s">
        <v>206</v>
      </c>
      <c r="M8" s="237">
        <f t="shared" si="2"/>
        <v>0.1291157608889788</v>
      </c>
      <c r="N8" s="237">
        <f t="shared" si="2"/>
        <v>0.12798494018134951</v>
      </c>
      <c r="O8" s="68">
        <f t="shared" si="3"/>
        <v>2264517.1104873135</v>
      </c>
      <c r="P8" s="37">
        <f t="shared" si="4"/>
        <v>2244684.0333812442</v>
      </c>
    </row>
    <row r="9" spans="1:16" x14ac:dyDescent="0.25">
      <c r="A9" s="138"/>
      <c r="B9" s="143" t="s">
        <v>207</v>
      </c>
      <c r="C9" s="34">
        <v>5908</v>
      </c>
      <c r="D9" s="34">
        <v>5956</v>
      </c>
      <c r="E9" s="36">
        <f t="shared" si="0"/>
        <v>7.6065404918243859E-2</v>
      </c>
      <c r="F9" s="36">
        <f t="shared" si="5"/>
        <v>7.5952918372291719E-2</v>
      </c>
      <c r="G9" s="34">
        <v>352408</v>
      </c>
      <c r="H9" s="34">
        <v>214129</v>
      </c>
      <c r="I9" s="235"/>
      <c r="J9" s="36">
        <f t="shared" si="1"/>
        <v>1.7532891584811049E-2</v>
      </c>
      <c r="K9" s="36">
        <f t="shared" si="1"/>
        <v>1.1033035576179826E-2</v>
      </c>
      <c r="L9" s="143" t="s">
        <v>207</v>
      </c>
      <c r="M9" s="237">
        <f t="shared" si="2"/>
        <v>5.2652399584870731E-2</v>
      </c>
      <c r="N9" s="237">
        <f t="shared" si="2"/>
        <v>4.9984965253846964E-2</v>
      </c>
      <c r="O9" s="68">
        <f t="shared" si="3"/>
        <v>923452.40385236696</v>
      </c>
      <c r="P9" s="37">
        <f t="shared" si="4"/>
        <v>876669.18666714244</v>
      </c>
    </row>
    <row r="10" spans="1:16" x14ac:dyDescent="0.25">
      <c r="A10" s="138"/>
      <c r="B10" s="143" t="s">
        <v>208</v>
      </c>
      <c r="C10" s="34">
        <v>7871</v>
      </c>
      <c r="D10" s="34">
        <v>7861</v>
      </c>
      <c r="E10" s="36">
        <f t="shared" si="0"/>
        <v>0.10133899832625209</v>
      </c>
      <c r="F10" s="36">
        <f t="shared" si="5"/>
        <v>0.1002461201015086</v>
      </c>
      <c r="G10" s="34">
        <v>5635669</v>
      </c>
      <c r="H10" s="34">
        <v>5232366</v>
      </c>
      <c r="I10" s="235"/>
      <c r="J10" s="36">
        <f t="shared" si="1"/>
        <v>0.28038402529136824</v>
      </c>
      <c r="K10" s="36">
        <f t="shared" si="1"/>
        <v>0.26959860750105652</v>
      </c>
      <c r="L10" s="143" t="s">
        <v>208</v>
      </c>
      <c r="M10" s="237">
        <f t="shared" si="2"/>
        <v>0.17295700911229855</v>
      </c>
      <c r="N10" s="237">
        <f t="shared" si="2"/>
        <v>0.16798711506132777</v>
      </c>
      <c r="O10" s="68">
        <f t="shared" si="3"/>
        <v>3033433.7482647509</v>
      </c>
      <c r="P10" s="37">
        <f t="shared" si="4"/>
        <v>2946268.4786009672</v>
      </c>
    </row>
    <row r="11" spans="1:16" x14ac:dyDescent="0.25">
      <c r="A11" s="138"/>
      <c r="B11" s="143" t="s">
        <v>209</v>
      </c>
      <c r="C11" s="34">
        <v>1283</v>
      </c>
      <c r="D11" s="34">
        <v>1275</v>
      </c>
      <c r="E11" s="36">
        <f t="shared" si="0"/>
        <v>1.651860435174456E-2</v>
      </c>
      <c r="F11" s="36">
        <f t="shared" si="5"/>
        <v>1.6259229503806573E-2</v>
      </c>
      <c r="G11" s="34">
        <v>786525</v>
      </c>
      <c r="H11" s="34">
        <v>798303</v>
      </c>
      <c r="I11" s="235"/>
      <c r="J11" s="36">
        <f t="shared" si="1"/>
        <v>3.913094354765928E-2</v>
      </c>
      <c r="K11" s="36">
        <f t="shared" si="1"/>
        <v>4.1132706917657504E-2</v>
      </c>
      <c r="L11" s="143" t="s">
        <v>209</v>
      </c>
      <c r="M11" s="237">
        <f t="shared" si="2"/>
        <v>2.5563540030110448E-2</v>
      </c>
      <c r="N11" s="237">
        <f t="shared" si="2"/>
        <v>2.6208620469346945E-2</v>
      </c>
      <c r="O11" s="68">
        <f t="shared" si="3"/>
        <v>448350.17355153768</v>
      </c>
      <c r="P11" s="37">
        <f t="shared" si="4"/>
        <v>459664.01844726497</v>
      </c>
    </row>
    <row r="12" spans="1:16" x14ac:dyDescent="0.25">
      <c r="A12" s="16"/>
      <c r="C12" s="55">
        <f t="shared" ref="C12:K12" si="6">SUM(C6:C11)</f>
        <v>77670</v>
      </c>
      <c r="D12" s="55">
        <f t="shared" si="6"/>
        <v>78417</v>
      </c>
      <c r="E12" s="36">
        <f t="shared" si="6"/>
        <v>1</v>
      </c>
      <c r="F12" s="36">
        <f t="shared" si="6"/>
        <v>0.99999999999999978</v>
      </c>
      <c r="G12" s="34">
        <f t="shared" si="6"/>
        <v>20099822</v>
      </c>
      <c r="H12" s="55">
        <f t="shared" si="6"/>
        <v>19407986</v>
      </c>
      <c r="I12" s="34">
        <f t="shared" si="6"/>
        <v>109323</v>
      </c>
      <c r="J12" s="36">
        <f t="shared" si="6"/>
        <v>1</v>
      </c>
      <c r="K12" s="36">
        <f t="shared" si="6"/>
        <v>1</v>
      </c>
      <c r="M12" s="26">
        <f>SUM(M6:M11)</f>
        <v>1</v>
      </c>
      <c r="N12" s="26">
        <f>SUM(N6:N11)</f>
        <v>1.0000000000000002</v>
      </c>
      <c r="O12" s="140">
        <f>SUM(O6:O11)</f>
        <v>17538657.518615998</v>
      </c>
      <c r="P12" s="140">
        <f>SUM(P6:P11)</f>
        <v>17538657.518615998</v>
      </c>
    </row>
    <row r="13" spans="1:16" x14ac:dyDescent="0.25">
      <c r="B13" s="143"/>
      <c r="C13" s="55" t="s">
        <v>266</v>
      </c>
      <c r="D13" s="55"/>
      <c r="E13" s="36"/>
      <c r="F13" s="36"/>
      <c r="G13" s="34"/>
      <c r="H13" s="34"/>
      <c r="I13" s="236">
        <f>SUM(I12,H12)</f>
        <v>19517309</v>
      </c>
      <c r="J13" s="36"/>
      <c r="K13" s="36"/>
      <c r="L13" s="143"/>
      <c r="M13" s="26"/>
      <c r="N13" s="48"/>
      <c r="O13" s="69"/>
    </row>
    <row r="14" spans="1:16" x14ac:dyDescent="0.25">
      <c r="B14" s="164" t="s">
        <v>265</v>
      </c>
      <c r="C14" s="34">
        <v>4831</v>
      </c>
      <c r="D14" s="34"/>
      <c r="E14" s="36">
        <f>C14/C16</f>
        <v>0.70136469221835074</v>
      </c>
      <c r="F14" s="36"/>
      <c r="G14" s="34"/>
      <c r="H14" s="34"/>
      <c r="I14" s="34"/>
      <c r="J14" s="36"/>
      <c r="K14" s="36"/>
      <c r="L14" s="143"/>
      <c r="M14" s="23">
        <v>0.70136469221835074</v>
      </c>
      <c r="N14" s="194"/>
      <c r="O14" s="68">
        <f>M14*G2</f>
        <v>785169.90207237273</v>
      </c>
    </row>
    <row r="15" spans="1:16" x14ac:dyDescent="0.25">
      <c r="B15" s="164" t="s">
        <v>264</v>
      </c>
      <c r="C15" s="34">
        <v>2057</v>
      </c>
      <c r="D15" s="34"/>
      <c r="E15" s="36">
        <f>C15/C16</f>
        <v>0.29863530778164926</v>
      </c>
      <c r="F15" s="36"/>
      <c r="G15" s="34"/>
      <c r="H15" s="34"/>
      <c r="I15" s="34"/>
      <c r="J15" s="36"/>
      <c r="K15" s="36"/>
      <c r="L15" s="143"/>
      <c r="M15" s="23">
        <v>0.29863530778164926</v>
      </c>
      <c r="N15" s="194"/>
      <c r="O15" s="68">
        <f>M15*G2</f>
        <v>334318.87571162719</v>
      </c>
    </row>
    <row r="16" spans="1:16" x14ac:dyDescent="0.25">
      <c r="C16" s="34">
        <f>SUM(C14:C15)</f>
        <v>6888</v>
      </c>
      <c r="D16" s="3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workbookViewId="0">
      <pane ySplit="1" topLeftCell="A2" activePane="bottomLeft" state="frozen"/>
      <selection pane="bottomLeft" activeCell="B11" sqref="B11"/>
    </sheetView>
  </sheetViews>
  <sheetFormatPr defaultRowHeight="15" x14ac:dyDescent="0.25"/>
  <cols>
    <col min="1" max="1" width="29.5703125" customWidth="1"/>
    <col min="2" max="2" width="27.5703125" bestFit="1" customWidth="1"/>
    <col min="5" max="5" width="13.85546875" bestFit="1" customWidth="1"/>
    <col min="6" max="6" width="9.7109375" bestFit="1" customWidth="1"/>
    <col min="7" max="7" width="11.42578125" bestFit="1" customWidth="1"/>
    <col min="8" max="8" width="11.140625" bestFit="1" customWidth="1"/>
    <col min="9" max="9" width="12" bestFit="1" customWidth="1"/>
    <col min="10" max="10" width="11.140625" bestFit="1" customWidth="1"/>
    <col min="11" max="11" width="10" bestFit="1" customWidth="1"/>
    <col min="12" max="12" width="10.7109375" bestFit="1" customWidth="1"/>
    <col min="13" max="13" width="24.85546875" bestFit="1" customWidth="1"/>
    <col min="20" max="20" width="27.5703125" bestFit="1" customWidth="1"/>
  </cols>
  <sheetData>
    <row r="1" spans="1:35" x14ac:dyDescent="0.25">
      <c r="A1" s="1" t="s">
        <v>221</v>
      </c>
      <c r="B1" s="79" t="s">
        <v>222</v>
      </c>
      <c r="C1" s="79" t="s">
        <v>223</v>
      </c>
      <c r="D1" s="79" t="s">
        <v>224</v>
      </c>
      <c r="E1" s="138" t="s">
        <v>183</v>
      </c>
      <c r="F1" s="138" t="s">
        <v>172</v>
      </c>
      <c r="G1" s="138" t="s">
        <v>158</v>
      </c>
      <c r="J1" s="1" t="s">
        <v>252</v>
      </c>
      <c r="K1" s="1" t="s">
        <v>253</v>
      </c>
      <c r="L1" s="1" t="s">
        <v>254</v>
      </c>
      <c r="M1" s="54" t="s">
        <v>255</v>
      </c>
    </row>
    <row r="2" spans="1:35" x14ac:dyDescent="0.25">
      <c r="A2" t="s">
        <v>213</v>
      </c>
      <c r="B2">
        <v>20</v>
      </c>
      <c r="C2">
        <v>293</v>
      </c>
      <c r="D2">
        <v>-0.17599999999999999</v>
      </c>
      <c r="E2" s="16"/>
      <c r="G2" s="37"/>
      <c r="H2" s="140">
        <v>1119488.7779999999</v>
      </c>
      <c r="I2" s="25">
        <v>3.2490000000000001</v>
      </c>
      <c r="J2">
        <v>293</v>
      </c>
      <c r="K2">
        <v>181</v>
      </c>
      <c r="L2">
        <v>112</v>
      </c>
      <c r="M2">
        <v>-0.17599999999999999</v>
      </c>
    </row>
    <row r="3" spans="1:35" x14ac:dyDescent="0.25">
      <c r="A3" t="s">
        <v>214</v>
      </c>
      <c r="B3">
        <v>120</v>
      </c>
      <c r="C3">
        <v>3067</v>
      </c>
      <c r="D3" s="78">
        <v>2.641</v>
      </c>
      <c r="E3" s="26">
        <f>D3/I$2</f>
        <v>0.8128654970760234</v>
      </c>
      <c r="F3" s="23">
        <f>B3*E3</f>
        <v>97.543859649122808</v>
      </c>
      <c r="G3" s="68">
        <f>F3*I$3</f>
        <v>928770.26456620195</v>
      </c>
      <c r="H3" s="39" t="s">
        <v>184</v>
      </c>
      <c r="I3" s="73">
        <f>H2/F12</f>
        <v>9521.5656619196961</v>
      </c>
      <c r="J3">
        <v>3067</v>
      </c>
      <c r="K3">
        <v>1085</v>
      </c>
      <c r="L3">
        <v>1982</v>
      </c>
      <c r="M3">
        <v>2.641</v>
      </c>
    </row>
    <row r="4" spans="1:35" x14ac:dyDescent="0.25">
      <c r="A4" t="s">
        <v>215</v>
      </c>
      <c r="B4">
        <v>15</v>
      </c>
      <c r="C4">
        <v>21</v>
      </c>
      <c r="D4">
        <v>-0.51800000000000002</v>
      </c>
      <c r="E4" s="26"/>
      <c r="F4" s="23"/>
      <c r="G4" s="37"/>
      <c r="J4">
        <v>21</v>
      </c>
      <c r="K4">
        <v>136</v>
      </c>
      <c r="L4">
        <v>-115</v>
      </c>
      <c r="M4">
        <v>-0.51800000000000002</v>
      </c>
    </row>
    <row r="5" spans="1:35" x14ac:dyDescent="0.25">
      <c r="A5" t="s">
        <v>216</v>
      </c>
      <c r="B5">
        <v>27</v>
      </c>
      <c r="C5">
        <v>100</v>
      </c>
      <c r="D5">
        <v>-0.56200000000000006</v>
      </c>
      <c r="E5" s="26"/>
      <c r="F5" s="23"/>
      <c r="G5" s="37"/>
      <c r="J5">
        <v>100</v>
      </c>
      <c r="K5">
        <v>244</v>
      </c>
      <c r="L5">
        <v>-144</v>
      </c>
      <c r="M5">
        <v>-0.56200000000000006</v>
      </c>
    </row>
    <row r="6" spans="1:35" x14ac:dyDescent="0.25">
      <c r="A6" t="s">
        <v>217</v>
      </c>
      <c r="B6">
        <v>19</v>
      </c>
      <c r="C6">
        <v>14</v>
      </c>
      <c r="D6">
        <v>-0.58299999999999996</v>
      </c>
      <c r="E6" s="26"/>
      <c r="F6" s="23"/>
      <c r="G6" s="37"/>
      <c r="J6">
        <v>14</v>
      </c>
      <c r="K6">
        <v>172</v>
      </c>
      <c r="L6">
        <v>-158</v>
      </c>
      <c r="M6">
        <v>-0.58299999999999996</v>
      </c>
    </row>
    <row r="7" spans="1:35" x14ac:dyDescent="0.25">
      <c r="A7" t="s">
        <v>140</v>
      </c>
      <c r="B7">
        <v>9</v>
      </c>
      <c r="C7">
        <v>77</v>
      </c>
      <c r="D7">
        <v>-0.35099999999999998</v>
      </c>
      <c r="E7" s="26"/>
      <c r="F7" s="23"/>
      <c r="G7" s="37"/>
      <c r="J7">
        <v>77</v>
      </c>
      <c r="K7">
        <v>81</v>
      </c>
      <c r="L7">
        <v>-4</v>
      </c>
      <c r="M7">
        <v>-0.35099999999999998</v>
      </c>
    </row>
    <row r="8" spans="1:35" x14ac:dyDescent="0.25">
      <c r="A8" t="s">
        <v>218</v>
      </c>
      <c r="B8">
        <v>13</v>
      </c>
      <c r="C8">
        <v>65</v>
      </c>
      <c r="D8">
        <v>-0.42299999999999999</v>
      </c>
      <c r="E8" s="26"/>
      <c r="F8" s="23"/>
      <c r="G8" s="37"/>
      <c r="J8">
        <v>65</v>
      </c>
      <c r="K8">
        <v>117</v>
      </c>
      <c r="L8">
        <v>-52</v>
      </c>
      <c r="M8">
        <v>-0.42299999999999999</v>
      </c>
    </row>
    <row r="9" spans="1:35" x14ac:dyDescent="0.25">
      <c r="A9" t="s">
        <v>219</v>
      </c>
      <c r="B9">
        <v>118</v>
      </c>
      <c r="C9">
        <v>1296</v>
      </c>
      <c r="D9" s="78">
        <v>2E-3</v>
      </c>
      <c r="E9" s="26">
        <f>D9/I$2</f>
        <v>6.1557402277623882E-4</v>
      </c>
      <c r="F9" s="23">
        <f>B9*E9</f>
        <v>7.2637734687596184E-2</v>
      </c>
      <c r="G9" s="68">
        <f>F9*I$3</f>
        <v>691.62496036104903</v>
      </c>
      <c r="J9">
        <v>1296</v>
      </c>
      <c r="K9">
        <v>1066</v>
      </c>
      <c r="L9">
        <v>230</v>
      </c>
      <c r="M9">
        <v>2E-3</v>
      </c>
    </row>
    <row r="10" spans="1:35" x14ac:dyDescent="0.25">
      <c r="A10" t="s">
        <v>220</v>
      </c>
      <c r="B10">
        <v>44</v>
      </c>
      <c r="C10">
        <v>206</v>
      </c>
      <c r="D10">
        <v>-0.63400000000000001</v>
      </c>
      <c r="E10" s="26"/>
      <c r="F10" s="23"/>
      <c r="G10" s="37"/>
      <c r="J10">
        <v>206</v>
      </c>
      <c r="K10">
        <v>398</v>
      </c>
      <c r="L10">
        <v>-192</v>
      </c>
      <c r="M10">
        <v>-0.63400000000000001</v>
      </c>
    </row>
    <row r="11" spans="1:35" x14ac:dyDescent="0.25">
      <c r="A11" t="s">
        <v>125</v>
      </c>
      <c r="B11">
        <v>107</v>
      </c>
      <c r="C11">
        <v>1598</v>
      </c>
      <c r="D11" s="78">
        <v>0.60599999999999998</v>
      </c>
      <c r="E11" s="26">
        <f>D11/I$2</f>
        <v>0.18651892890120036</v>
      </c>
      <c r="F11" s="23">
        <f>B11*E11</f>
        <v>19.95752539242844</v>
      </c>
      <c r="G11" s="68">
        <f>F11*I$3</f>
        <v>190026.88847343705</v>
      </c>
      <c r="J11">
        <v>1598</v>
      </c>
      <c r="K11">
        <v>967</v>
      </c>
      <c r="L11">
        <v>631</v>
      </c>
      <c r="M11">
        <v>0.60599999999999998</v>
      </c>
    </row>
    <row r="12" spans="1:35" x14ac:dyDescent="0.25">
      <c r="E12" s="23">
        <f>SUM(E2:E11)</f>
        <v>1</v>
      </c>
      <c r="F12" s="23">
        <f>SUM(F2:F11)</f>
        <v>117.57402277623883</v>
      </c>
      <c r="G12" s="67">
        <f>SUM(G2:G11)</f>
        <v>1119488.7779999999</v>
      </c>
    </row>
    <row r="13" spans="1:35" ht="15.75" thickBot="1" x14ac:dyDescent="0.3"/>
    <row r="14" spans="1:35" ht="15.75" thickBot="1" x14ac:dyDescent="0.3">
      <c r="A14" s="185" t="s">
        <v>295</v>
      </c>
      <c r="C14" s="186" t="s">
        <v>297</v>
      </c>
      <c r="D14" s="187" t="s">
        <v>222</v>
      </c>
      <c r="E14" s="186" t="s">
        <v>298</v>
      </c>
      <c r="F14" s="192" t="s">
        <v>299</v>
      </c>
      <c r="G14" s="192" t="s">
        <v>300</v>
      </c>
      <c r="H14" s="195" t="s">
        <v>158</v>
      </c>
      <c r="M14" s="186" t="s">
        <v>295</v>
      </c>
      <c r="N14" s="146">
        <v>2019</v>
      </c>
      <c r="O14" s="1"/>
      <c r="P14" s="1"/>
      <c r="Q14" s="1"/>
      <c r="R14" s="1"/>
      <c r="S14" s="1">
        <v>2020</v>
      </c>
      <c r="T14" s="186" t="s">
        <v>295</v>
      </c>
      <c r="U14" s="1"/>
      <c r="V14" s="1"/>
      <c r="W14" s="1"/>
      <c r="X14" s="1"/>
      <c r="Z14" s="1" t="s">
        <v>304</v>
      </c>
      <c r="AA14" s="1"/>
      <c r="AB14" s="1"/>
      <c r="AC14" s="1"/>
    </row>
    <row r="15" spans="1:35" ht="15.75" thickBot="1" x14ac:dyDescent="0.3">
      <c r="A15" s="174" t="s">
        <v>280</v>
      </c>
      <c r="B15" s="175" t="s">
        <v>30</v>
      </c>
      <c r="C15" s="182">
        <v>7.2</v>
      </c>
      <c r="D15" s="188">
        <v>0</v>
      </c>
      <c r="L15" t="s">
        <v>305</v>
      </c>
      <c r="Z15">
        <v>12</v>
      </c>
      <c r="AA15">
        <v>7.2</v>
      </c>
      <c r="AB15">
        <v>12</v>
      </c>
      <c r="AC15">
        <v>7.2</v>
      </c>
      <c r="AE15" t="s">
        <v>306</v>
      </c>
      <c r="AI15" t="s">
        <v>307</v>
      </c>
    </row>
    <row r="16" spans="1:35" ht="15.75" thickBot="1" x14ac:dyDescent="0.3">
      <c r="A16" s="172" t="s">
        <v>215</v>
      </c>
      <c r="B16" s="176" t="s">
        <v>107</v>
      </c>
      <c r="C16" s="183">
        <v>21.6</v>
      </c>
      <c r="D16" s="189">
        <v>15</v>
      </c>
      <c r="E16">
        <v>111</v>
      </c>
      <c r="F16" s="119">
        <f>C16-E16</f>
        <v>-89.4</v>
      </c>
      <c r="G16">
        <v>-0.498</v>
      </c>
      <c r="L16" s="197" t="s">
        <v>308</v>
      </c>
      <c r="M16" s="198" t="s">
        <v>309</v>
      </c>
      <c r="N16" s="199" t="s">
        <v>310</v>
      </c>
      <c r="O16" s="199" t="s">
        <v>311</v>
      </c>
      <c r="P16" s="199" t="s">
        <v>312</v>
      </c>
      <c r="Q16" s="200" t="s">
        <v>313</v>
      </c>
      <c r="S16" s="197" t="s">
        <v>308</v>
      </c>
      <c r="T16" s="198" t="s">
        <v>309</v>
      </c>
      <c r="U16" s="199" t="s">
        <v>310</v>
      </c>
      <c r="V16" s="199" t="s">
        <v>311</v>
      </c>
      <c r="W16" s="199" t="s">
        <v>312</v>
      </c>
      <c r="X16" s="200" t="s">
        <v>313</v>
      </c>
      <c r="Z16" s="201" t="s">
        <v>310</v>
      </c>
      <c r="AA16" s="201" t="s">
        <v>311</v>
      </c>
      <c r="AB16" s="201" t="s">
        <v>312</v>
      </c>
      <c r="AC16" s="202" t="s">
        <v>313</v>
      </c>
      <c r="AE16" s="203" t="s">
        <v>310</v>
      </c>
      <c r="AF16" s="199" t="s">
        <v>311</v>
      </c>
      <c r="AG16" s="199" t="s">
        <v>312</v>
      </c>
      <c r="AH16" s="204" t="s">
        <v>313</v>
      </c>
      <c r="AI16" s="205" t="s">
        <v>314</v>
      </c>
    </row>
    <row r="17" spans="1:35" x14ac:dyDescent="0.25">
      <c r="A17" s="172" t="s">
        <v>281</v>
      </c>
      <c r="B17" s="176" t="s">
        <v>270</v>
      </c>
      <c r="C17" s="183">
        <v>14.4</v>
      </c>
      <c r="D17" s="190">
        <v>0</v>
      </c>
      <c r="L17" s="165" t="s">
        <v>267</v>
      </c>
      <c r="M17" s="166" t="s">
        <v>30</v>
      </c>
      <c r="N17" s="166">
        <v>0</v>
      </c>
      <c r="O17" s="166">
        <v>0</v>
      </c>
      <c r="P17" s="166">
        <v>0</v>
      </c>
      <c r="Q17" s="206">
        <v>1</v>
      </c>
      <c r="S17" s="165"/>
      <c r="T17" s="166"/>
      <c r="U17" s="166"/>
      <c r="V17" s="166"/>
      <c r="W17" s="166"/>
      <c r="X17" s="206"/>
      <c r="Z17" s="207">
        <v>0</v>
      </c>
      <c r="AA17" s="208">
        <v>0</v>
      </c>
      <c r="AB17" s="208">
        <v>0</v>
      </c>
      <c r="AC17" s="175">
        <v>1</v>
      </c>
      <c r="AE17" s="165">
        <v>0</v>
      </c>
      <c r="AF17" s="166">
        <v>0</v>
      </c>
      <c r="AG17" s="166">
        <v>0</v>
      </c>
      <c r="AH17" s="209">
        <v>7.2</v>
      </c>
      <c r="AI17" s="178">
        <v>7.2</v>
      </c>
    </row>
    <row r="18" spans="1:35" x14ac:dyDescent="0.25">
      <c r="A18" s="172" t="s">
        <v>281</v>
      </c>
      <c r="B18" s="176" t="s">
        <v>271</v>
      </c>
      <c r="C18" s="183">
        <v>38.4</v>
      </c>
      <c r="D18" s="190">
        <v>0</v>
      </c>
      <c r="L18" s="167" t="s">
        <v>268</v>
      </c>
      <c r="M18" s="168" t="s">
        <v>107</v>
      </c>
      <c r="N18" s="168">
        <v>0</v>
      </c>
      <c r="O18" s="168">
        <v>0</v>
      </c>
      <c r="P18" s="168">
        <v>0</v>
      </c>
      <c r="Q18" s="176">
        <v>1</v>
      </c>
      <c r="S18" s="210" t="s">
        <v>268</v>
      </c>
      <c r="T18" s="168" t="s">
        <v>107</v>
      </c>
      <c r="U18" s="211">
        <v>0</v>
      </c>
      <c r="V18" s="211">
        <v>2</v>
      </c>
      <c r="W18" s="211">
        <v>0</v>
      </c>
      <c r="X18" s="212">
        <v>0</v>
      </c>
      <c r="Z18" s="167">
        <v>0</v>
      </c>
      <c r="AA18" s="168">
        <v>2</v>
      </c>
      <c r="AB18" s="168">
        <v>0</v>
      </c>
      <c r="AC18" s="176">
        <v>1</v>
      </c>
      <c r="AE18" s="167">
        <v>0</v>
      </c>
      <c r="AF18" s="168">
        <v>14.4</v>
      </c>
      <c r="AG18" s="168">
        <v>0</v>
      </c>
      <c r="AH18" s="213">
        <v>7.2</v>
      </c>
      <c r="AI18" s="179">
        <v>21.6</v>
      </c>
    </row>
    <row r="19" spans="1:35" x14ac:dyDescent="0.25">
      <c r="A19" s="172" t="s">
        <v>213</v>
      </c>
      <c r="B19" s="176" t="s">
        <v>45</v>
      </c>
      <c r="C19" s="183">
        <v>237.60000000000002</v>
      </c>
      <c r="D19" s="189">
        <v>13</v>
      </c>
      <c r="E19">
        <v>96</v>
      </c>
      <c r="F19" s="119">
        <f>C19-E19</f>
        <v>141.60000000000002</v>
      </c>
      <c r="G19">
        <v>-0.54900000000000004</v>
      </c>
      <c r="L19" s="167" t="s">
        <v>269</v>
      </c>
      <c r="M19" s="168" t="s">
        <v>270</v>
      </c>
      <c r="N19" s="168">
        <v>0</v>
      </c>
      <c r="O19" s="168">
        <v>2</v>
      </c>
      <c r="P19" s="168">
        <v>0</v>
      </c>
      <c r="Q19" s="176">
        <v>0</v>
      </c>
      <c r="S19" s="167"/>
      <c r="T19" s="168"/>
      <c r="U19" s="168"/>
      <c r="V19" s="168"/>
      <c r="W19" s="168"/>
      <c r="X19" s="176"/>
      <c r="Z19" s="167">
        <v>0</v>
      </c>
      <c r="AA19" s="168">
        <v>2</v>
      </c>
      <c r="AB19" s="168">
        <v>0</v>
      </c>
      <c r="AC19" s="176">
        <v>0</v>
      </c>
      <c r="AE19" s="167">
        <v>0</v>
      </c>
      <c r="AF19" s="168">
        <v>14.4</v>
      </c>
      <c r="AG19" s="168">
        <v>0</v>
      </c>
      <c r="AH19" s="213">
        <v>0</v>
      </c>
      <c r="AI19" s="179">
        <v>14.4</v>
      </c>
    </row>
    <row r="20" spans="1:35" x14ac:dyDescent="0.25">
      <c r="A20" s="172" t="s">
        <v>213</v>
      </c>
      <c r="B20" s="176" t="s">
        <v>273</v>
      </c>
      <c r="C20" s="183">
        <v>55.2</v>
      </c>
      <c r="D20" s="189">
        <v>7</v>
      </c>
      <c r="E20">
        <v>52</v>
      </c>
      <c r="F20" s="119">
        <f>C20-E20</f>
        <v>3.2000000000000028</v>
      </c>
      <c r="G20">
        <v>-0.70299999999999996</v>
      </c>
      <c r="L20" s="167" t="s">
        <v>269</v>
      </c>
      <c r="M20" s="168" t="s">
        <v>271</v>
      </c>
      <c r="N20" s="168">
        <v>0</v>
      </c>
      <c r="O20" s="168">
        <v>2</v>
      </c>
      <c r="P20" s="168">
        <v>2</v>
      </c>
      <c r="Q20" s="176">
        <v>0</v>
      </c>
      <c r="S20" s="167"/>
      <c r="T20" s="168"/>
      <c r="U20" s="168"/>
      <c r="V20" s="168"/>
      <c r="W20" s="168"/>
      <c r="X20" s="176"/>
      <c r="Z20" s="167">
        <v>0</v>
      </c>
      <c r="AA20" s="168">
        <v>2</v>
      </c>
      <c r="AB20" s="168">
        <v>2</v>
      </c>
      <c r="AC20" s="176">
        <v>0</v>
      </c>
      <c r="AE20" s="167">
        <v>0</v>
      </c>
      <c r="AF20" s="168">
        <v>14.4</v>
      </c>
      <c r="AG20" s="168">
        <v>24</v>
      </c>
      <c r="AH20" s="213">
        <v>0</v>
      </c>
      <c r="AI20" s="179">
        <v>38.4</v>
      </c>
    </row>
    <row r="21" spans="1:35" x14ac:dyDescent="0.25">
      <c r="A21" s="172" t="s">
        <v>220</v>
      </c>
      <c r="B21" s="176" t="s">
        <v>91</v>
      </c>
      <c r="C21" s="183">
        <v>206.4</v>
      </c>
      <c r="D21" s="189">
        <v>44</v>
      </c>
      <c r="E21">
        <v>324</v>
      </c>
      <c r="F21" s="119">
        <f>C21-E21</f>
        <v>-117.6</v>
      </c>
      <c r="G21">
        <v>0.245</v>
      </c>
      <c r="L21" s="167" t="s">
        <v>272</v>
      </c>
      <c r="M21" s="168" t="s">
        <v>45</v>
      </c>
      <c r="N21" s="168">
        <v>0</v>
      </c>
      <c r="O21" s="168">
        <v>2</v>
      </c>
      <c r="P21" s="168">
        <v>7</v>
      </c>
      <c r="Q21" s="176">
        <v>0</v>
      </c>
      <c r="S21" s="210" t="s">
        <v>272</v>
      </c>
      <c r="T21" s="168" t="s">
        <v>45</v>
      </c>
      <c r="U21" s="211">
        <v>0</v>
      </c>
      <c r="V21" s="211">
        <v>2</v>
      </c>
      <c r="W21" s="211">
        <v>5</v>
      </c>
      <c r="X21" s="212">
        <v>9</v>
      </c>
      <c r="Z21" s="167">
        <v>0</v>
      </c>
      <c r="AA21" s="168">
        <v>4</v>
      </c>
      <c r="AB21" s="168">
        <v>12</v>
      </c>
      <c r="AC21" s="176">
        <v>9</v>
      </c>
      <c r="AE21" s="167">
        <v>0</v>
      </c>
      <c r="AF21" s="168">
        <v>28.8</v>
      </c>
      <c r="AG21" s="168">
        <v>144</v>
      </c>
      <c r="AH21" s="213">
        <v>64.8</v>
      </c>
      <c r="AI21" s="179">
        <v>237.60000000000002</v>
      </c>
    </row>
    <row r="22" spans="1:35" x14ac:dyDescent="0.25">
      <c r="A22" s="172" t="s">
        <v>282</v>
      </c>
      <c r="B22" s="176" t="s">
        <v>95</v>
      </c>
      <c r="C22" s="183">
        <v>12</v>
      </c>
      <c r="D22" s="190">
        <v>1</v>
      </c>
      <c r="L22" s="167" t="s">
        <v>272</v>
      </c>
      <c r="M22" s="168" t="s">
        <v>273</v>
      </c>
      <c r="N22" s="168">
        <v>0</v>
      </c>
      <c r="O22" s="168">
        <v>2</v>
      </c>
      <c r="P22" s="168">
        <v>0</v>
      </c>
      <c r="Q22" s="176">
        <v>0</v>
      </c>
      <c r="S22" s="210" t="s">
        <v>272</v>
      </c>
      <c r="T22" s="168" t="s">
        <v>273</v>
      </c>
      <c r="U22" s="211">
        <v>0</v>
      </c>
      <c r="V22" s="211">
        <v>0</v>
      </c>
      <c r="W22" s="211">
        <v>1</v>
      </c>
      <c r="X22" s="212">
        <v>4</v>
      </c>
      <c r="Z22" s="167">
        <v>0</v>
      </c>
      <c r="AA22" s="168">
        <v>2</v>
      </c>
      <c r="AB22" s="168">
        <v>1</v>
      </c>
      <c r="AC22" s="176">
        <v>4</v>
      </c>
      <c r="AE22" s="167">
        <v>0</v>
      </c>
      <c r="AF22" s="168">
        <v>14.4</v>
      </c>
      <c r="AG22" s="168">
        <v>12</v>
      </c>
      <c r="AH22" s="213">
        <v>28.8</v>
      </c>
      <c r="AI22" s="179">
        <v>55.2</v>
      </c>
    </row>
    <row r="23" spans="1:35" x14ac:dyDescent="0.25">
      <c r="A23" s="172" t="s">
        <v>218</v>
      </c>
      <c r="B23" s="176" t="s">
        <v>70</v>
      </c>
      <c r="C23" s="183">
        <v>64.8</v>
      </c>
      <c r="D23" s="189">
        <v>13</v>
      </c>
      <c r="E23">
        <v>96</v>
      </c>
      <c r="F23" s="119">
        <f>C23-E23</f>
        <v>-31.200000000000003</v>
      </c>
      <c r="G23">
        <v>-0.54900000000000004</v>
      </c>
      <c r="L23" s="167" t="s">
        <v>274</v>
      </c>
      <c r="M23" s="168" t="s">
        <v>91</v>
      </c>
      <c r="N23" s="168">
        <v>1</v>
      </c>
      <c r="O23" s="168">
        <v>3</v>
      </c>
      <c r="P23" s="168">
        <v>1</v>
      </c>
      <c r="Q23" s="176">
        <v>1</v>
      </c>
      <c r="S23" s="210" t="s">
        <v>274</v>
      </c>
      <c r="T23" s="168" t="s">
        <v>91</v>
      </c>
      <c r="U23" s="211">
        <v>2</v>
      </c>
      <c r="V23" s="211">
        <v>4</v>
      </c>
      <c r="W23" s="211">
        <v>0</v>
      </c>
      <c r="X23" s="212">
        <v>14</v>
      </c>
      <c r="Z23" s="167">
        <v>3</v>
      </c>
      <c r="AA23" s="168">
        <v>7</v>
      </c>
      <c r="AB23" s="168">
        <v>1</v>
      </c>
      <c r="AC23" s="176">
        <v>15</v>
      </c>
      <c r="AE23" s="167">
        <v>36</v>
      </c>
      <c r="AF23" s="168">
        <v>50.4</v>
      </c>
      <c r="AG23" s="168">
        <v>12</v>
      </c>
      <c r="AH23" s="213">
        <v>108</v>
      </c>
      <c r="AI23" s="179">
        <v>206.4</v>
      </c>
    </row>
    <row r="24" spans="1:35" x14ac:dyDescent="0.25">
      <c r="A24" s="172" t="s">
        <v>219</v>
      </c>
      <c r="B24" s="176" t="s">
        <v>278</v>
      </c>
      <c r="C24" s="183">
        <v>1296</v>
      </c>
      <c r="D24" s="189">
        <v>118</v>
      </c>
      <c r="E24">
        <v>869</v>
      </c>
      <c r="F24" s="119">
        <f>C24-E24</f>
        <v>427</v>
      </c>
      <c r="G24" s="78">
        <v>2.1419999999999999</v>
      </c>
      <c r="H24" s="67">
        <v>334318.88</v>
      </c>
      <c r="L24" s="169" t="s">
        <v>275</v>
      </c>
      <c r="M24" s="168"/>
      <c r="N24" s="168"/>
      <c r="O24" s="168"/>
      <c r="P24" s="168"/>
      <c r="Q24" s="176"/>
      <c r="S24" s="210" t="s">
        <v>275</v>
      </c>
      <c r="T24" s="168" t="s">
        <v>95</v>
      </c>
      <c r="U24" s="211">
        <v>0</v>
      </c>
      <c r="V24" s="211">
        <v>0</v>
      </c>
      <c r="W24" s="211">
        <v>1</v>
      </c>
      <c r="X24" s="212">
        <v>0</v>
      </c>
      <c r="Z24" s="167">
        <v>0</v>
      </c>
      <c r="AA24" s="168">
        <v>0</v>
      </c>
      <c r="AB24" s="168">
        <v>1</v>
      </c>
      <c r="AC24" s="176">
        <v>0</v>
      </c>
      <c r="AE24" s="167">
        <v>0</v>
      </c>
      <c r="AF24" s="168">
        <v>0</v>
      </c>
      <c r="AG24" s="168">
        <v>12</v>
      </c>
      <c r="AH24" s="213">
        <v>0</v>
      </c>
      <c r="AI24" s="179">
        <v>12</v>
      </c>
    </row>
    <row r="25" spans="1:35" ht="15.75" thickBot="1" x14ac:dyDescent="0.3">
      <c r="A25" s="173" t="s">
        <v>125</v>
      </c>
      <c r="B25" s="177" t="s">
        <v>126</v>
      </c>
      <c r="C25" s="184">
        <v>103.2</v>
      </c>
      <c r="D25" s="191">
        <v>31</v>
      </c>
      <c r="E25">
        <v>228</v>
      </c>
      <c r="F25" s="119">
        <f>C25-E25</f>
        <v>-124.8</v>
      </c>
      <c r="G25">
        <v>-8.7999999999999995E-2</v>
      </c>
      <c r="L25" s="169" t="s">
        <v>276</v>
      </c>
      <c r="M25" s="168"/>
      <c r="N25" s="168"/>
      <c r="O25" s="168"/>
      <c r="P25" s="168"/>
      <c r="Q25" s="176"/>
      <c r="S25" s="210" t="s">
        <v>276</v>
      </c>
      <c r="T25" s="168" t="s">
        <v>70</v>
      </c>
      <c r="U25" s="211">
        <v>0</v>
      </c>
      <c r="V25" s="211">
        <v>0</v>
      </c>
      <c r="W25" s="211">
        <v>0</v>
      </c>
      <c r="X25" s="212">
        <v>9</v>
      </c>
      <c r="Z25" s="167">
        <v>0</v>
      </c>
      <c r="AA25" s="168">
        <v>0</v>
      </c>
      <c r="AB25" s="168">
        <v>0</v>
      </c>
      <c r="AC25" s="176">
        <v>9</v>
      </c>
      <c r="AE25" s="167">
        <v>0</v>
      </c>
      <c r="AF25" s="168">
        <v>0</v>
      </c>
      <c r="AG25" s="168">
        <v>0</v>
      </c>
      <c r="AH25" s="213">
        <v>64.8</v>
      </c>
      <c r="AI25" s="179">
        <v>64.8</v>
      </c>
    </row>
    <row r="26" spans="1:35" ht="15.75" thickBot="1" x14ac:dyDescent="0.3">
      <c r="L26" s="167" t="s">
        <v>277</v>
      </c>
      <c r="M26" s="168" t="s">
        <v>278</v>
      </c>
      <c r="N26" s="168">
        <v>8</v>
      </c>
      <c r="O26" s="168">
        <v>32</v>
      </c>
      <c r="P26" s="168">
        <v>5</v>
      </c>
      <c r="Q26" s="176">
        <v>29</v>
      </c>
      <c r="S26" s="210" t="s">
        <v>277</v>
      </c>
      <c r="T26" s="168" t="s">
        <v>278</v>
      </c>
      <c r="U26" s="211">
        <v>1</v>
      </c>
      <c r="V26" s="211">
        <v>43</v>
      </c>
      <c r="W26" s="211">
        <v>4</v>
      </c>
      <c r="X26" s="212">
        <v>46</v>
      </c>
      <c r="Z26" s="167">
        <v>9</v>
      </c>
      <c r="AA26" s="168">
        <v>75</v>
      </c>
      <c r="AB26" s="168">
        <v>9</v>
      </c>
      <c r="AC26" s="176">
        <v>75</v>
      </c>
      <c r="AE26" s="167">
        <v>108</v>
      </c>
      <c r="AF26" s="168">
        <v>540</v>
      </c>
      <c r="AG26" s="168">
        <v>108</v>
      </c>
      <c r="AH26" s="213">
        <v>540</v>
      </c>
      <c r="AI26" s="179">
        <v>1296</v>
      </c>
    </row>
    <row r="27" spans="1:35" ht="15.75" thickBot="1" x14ac:dyDescent="0.3">
      <c r="A27" s="185" t="s">
        <v>296</v>
      </c>
      <c r="C27" s="186" t="s">
        <v>297</v>
      </c>
      <c r="D27" s="187" t="s">
        <v>222</v>
      </c>
      <c r="E27" s="186" t="s">
        <v>298</v>
      </c>
      <c r="F27" s="192" t="s">
        <v>299</v>
      </c>
      <c r="G27" s="192" t="s">
        <v>300</v>
      </c>
      <c r="H27" s="192" t="s">
        <v>301</v>
      </c>
      <c r="I27" s="192" t="s">
        <v>303</v>
      </c>
      <c r="J27" s="140">
        <v>785169.9</v>
      </c>
      <c r="L27" s="170" t="s">
        <v>279</v>
      </c>
      <c r="M27" s="171" t="s">
        <v>126</v>
      </c>
      <c r="N27" s="171">
        <v>0</v>
      </c>
      <c r="O27" s="171">
        <v>7</v>
      </c>
      <c r="P27" s="171">
        <v>1</v>
      </c>
      <c r="Q27" s="177">
        <v>0</v>
      </c>
      <c r="S27" s="214" t="s">
        <v>279</v>
      </c>
      <c r="T27" s="171" t="s">
        <v>126</v>
      </c>
      <c r="U27" s="215">
        <v>0</v>
      </c>
      <c r="V27" s="215">
        <v>4</v>
      </c>
      <c r="W27" s="215">
        <v>1</v>
      </c>
      <c r="X27" s="216">
        <v>0</v>
      </c>
      <c r="Z27" s="170">
        <v>0</v>
      </c>
      <c r="AA27" s="171">
        <v>11</v>
      </c>
      <c r="AB27" s="171">
        <v>2</v>
      </c>
      <c r="AC27" s="177">
        <v>0</v>
      </c>
      <c r="AE27" s="217">
        <v>0</v>
      </c>
      <c r="AF27" s="218">
        <v>79.2</v>
      </c>
      <c r="AG27" s="218">
        <v>24</v>
      </c>
      <c r="AH27" s="219">
        <v>0</v>
      </c>
      <c r="AI27" s="180">
        <v>103.2</v>
      </c>
    </row>
    <row r="28" spans="1:35" ht="15.75" thickBot="1" x14ac:dyDescent="0.3">
      <c r="A28" s="174" t="s">
        <v>280</v>
      </c>
      <c r="B28" s="175" t="s">
        <v>31</v>
      </c>
      <c r="C28" s="182">
        <v>50.4</v>
      </c>
      <c r="D28" s="188">
        <v>0</v>
      </c>
      <c r="H28">
        <f>G33+G35+G38</f>
        <v>3.0909999999999997</v>
      </c>
      <c r="I28" s="196">
        <f>J27/I40</f>
        <v>16057.58967388068</v>
      </c>
      <c r="N28">
        <f>SUM(N17:N27)</f>
        <v>9</v>
      </c>
      <c r="O28">
        <f t="shared" ref="O28:Q28" si="0">SUM(O17:O27)</f>
        <v>50</v>
      </c>
      <c r="P28">
        <f t="shared" si="0"/>
        <v>16</v>
      </c>
      <c r="Q28">
        <f t="shared" si="0"/>
        <v>32</v>
      </c>
      <c r="U28">
        <f>SUM(U21:U27)</f>
        <v>3</v>
      </c>
      <c r="V28">
        <f t="shared" ref="V28:X28" si="1">SUM(V21:V27)</f>
        <v>53</v>
      </c>
      <c r="W28">
        <f t="shared" si="1"/>
        <v>12</v>
      </c>
      <c r="X28">
        <f t="shared" si="1"/>
        <v>82</v>
      </c>
      <c r="Z28" s="197">
        <v>12</v>
      </c>
      <c r="AA28" s="198">
        <v>105</v>
      </c>
      <c r="AB28" s="198">
        <v>28</v>
      </c>
      <c r="AC28" s="220">
        <v>114</v>
      </c>
      <c r="AE28" s="221">
        <v>144</v>
      </c>
      <c r="AF28" s="221">
        <v>756</v>
      </c>
      <c r="AG28" s="221">
        <v>336</v>
      </c>
      <c r="AH28" s="221">
        <v>820.8</v>
      </c>
      <c r="AI28" s="222">
        <v>2056.7999999999997</v>
      </c>
    </row>
    <row r="29" spans="1:35" x14ac:dyDescent="0.25">
      <c r="A29" s="172" t="s">
        <v>280</v>
      </c>
      <c r="B29" s="176" t="s">
        <v>30</v>
      </c>
      <c r="C29" s="183">
        <v>36</v>
      </c>
      <c r="D29" s="190">
        <v>0</v>
      </c>
      <c r="H29" s="1" t="s">
        <v>302</v>
      </c>
      <c r="I29" s="186" t="s">
        <v>172</v>
      </c>
      <c r="J29" s="186" t="s">
        <v>158</v>
      </c>
    </row>
    <row r="30" spans="1:35" x14ac:dyDescent="0.25">
      <c r="A30" s="172" t="s">
        <v>217</v>
      </c>
      <c r="B30" s="176" t="s">
        <v>100</v>
      </c>
      <c r="C30" s="183">
        <v>14.4</v>
      </c>
      <c r="D30" s="189">
        <v>19</v>
      </c>
      <c r="E30">
        <v>262</v>
      </c>
      <c r="F30" s="119">
        <f t="shared" ref="F30:F35" si="2">C30-E30</f>
        <v>-247.6</v>
      </c>
      <c r="G30">
        <v>-0.64500000000000002</v>
      </c>
      <c r="I30" s="23"/>
      <c r="M30" s="186" t="s">
        <v>296</v>
      </c>
      <c r="N30" s="1">
        <v>2019</v>
      </c>
      <c r="O30" s="1"/>
      <c r="P30" s="1"/>
      <c r="Q30" s="1"/>
      <c r="R30" s="1"/>
      <c r="S30" s="1">
        <v>2020</v>
      </c>
      <c r="T30" s="223" t="s">
        <v>296</v>
      </c>
      <c r="U30" s="1"/>
      <c r="V30" s="1"/>
      <c r="W30" s="1"/>
      <c r="X30" s="1"/>
      <c r="Z30" s="1" t="s">
        <v>304</v>
      </c>
      <c r="AA30" s="1"/>
      <c r="AB30" s="1"/>
      <c r="AC30" s="1"/>
    </row>
    <row r="31" spans="1:35" ht="15.75" thickBot="1" x14ac:dyDescent="0.3">
      <c r="A31" s="172" t="s">
        <v>216</v>
      </c>
      <c r="B31" s="176" t="s">
        <v>100</v>
      </c>
      <c r="C31" s="183">
        <v>14.4</v>
      </c>
      <c r="D31" s="189">
        <v>19</v>
      </c>
      <c r="E31">
        <v>262</v>
      </c>
      <c r="F31" s="119">
        <f t="shared" si="2"/>
        <v>-247.6</v>
      </c>
      <c r="G31">
        <v>-0.64500000000000002</v>
      </c>
      <c r="I31" s="23"/>
      <c r="L31" t="s">
        <v>305</v>
      </c>
      <c r="Z31">
        <v>12</v>
      </c>
      <c r="AA31">
        <v>7.2</v>
      </c>
      <c r="AB31">
        <v>12</v>
      </c>
      <c r="AC31">
        <v>7.2</v>
      </c>
      <c r="AE31" t="s">
        <v>306</v>
      </c>
      <c r="AI31" t="s">
        <v>315</v>
      </c>
    </row>
    <row r="32" spans="1:35" ht="15.75" thickBot="1" x14ac:dyDescent="0.3">
      <c r="A32" s="172" t="s">
        <v>216</v>
      </c>
      <c r="B32" s="176" t="s">
        <v>107</v>
      </c>
      <c r="C32" s="183">
        <v>86.4</v>
      </c>
      <c r="D32" s="189">
        <v>8</v>
      </c>
      <c r="E32">
        <v>110</v>
      </c>
      <c r="F32" s="119">
        <f t="shared" si="2"/>
        <v>-23.599999999999994</v>
      </c>
      <c r="G32">
        <v>-1.3029999999999999</v>
      </c>
      <c r="I32" s="23"/>
      <c r="L32" s="197" t="s">
        <v>308</v>
      </c>
      <c r="M32" s="198" t="s">
        <v>309</v>
      </c>
      <c r="N32" s="199" t="s">
        <v>310</v>
      </c>
      <c r="O32" s="199" t="s">
        <v>311</v>
      </c>
      <c r="P32" s="199" t="s">
        <v>312</v>
      </c>
      <c r="Q32" s="200" t="s">
        <v>313</v>
      </c>
      <c r="S32" s="197" t="s">
        <v>308</v>
      </c>
      <c r="T32" s="198" t="s">
        <v>309</v>
      </c>
      <c r="U32" s="199" t="s">
        <v>310</v>
      </c>
      <c r="V32" s="199" t="s">
        <v>311</v>
      </c>
      <c r="W32" s="199" t="s">
        <v>312</v>
      </c>
      <c r="X32" s="200" t="s">
        <v>313</v>
      </c>
      <c r="Z32" s="201" t="s">
        <v>310</v>
      </c>
      <c r="AA32" s="201" t="s">
        <v>311</v>
      </c>
      <c r="AB32" s="201" t="s">
        <v>312</v>
      </c>
      <c r="AC32" s="202" t="s">
        <v>313</v>
      </c>
      <c r="AE32" s="201" t="s">
        <v>310</v>
      </c>
      <c r="AF32" s="201" t="s">
        <v>311</v>
      </c>
      <c r="AG32" s="201" t="s">
        <v>312</v>
      </c>
      <c r="AH32" s="224" t="s">
        <v>313</v>
      </c>
      <c r="AI32" s="225" t="s">
        <v>314</v>
      </c>
    </row>
    <row r="33" spans="1:35" ht="15.75" thickBot="1" x14ac:dyDescent="0.3">
      <c r="A33" s="172" t="s">
        <v>293</v>
      </c>
      <c r="B33" s="176" t="s">
        <v>286</v>
      </c>
      <c r="C33" s="183">
        <v>1440</v>
      </c>
      <c r="D33" s="189">
        <v>42</v>
      </c>
      <c r="E33">
        <v>579</v>
      </c>
      <c r="F33" s="119">
        <f t="shared" si="2"/>
        <v>861</v>
      </c>
      <c r="G33" s="78">
        <v>0.73099999999999998</v>
      </c>
      <c r="H33" s="23">
        <f>G33/H$28</f>
        <v>0.23649304432222584</v>
      </c>
      <c r="I33" s="23">
        <f>D33*H33</f>
        <v>9.9327078615334852</v>
      </c>
      <c r="J33" s="68">
        <f>I33*I$28</f>
        <v>159495.34719103354</v>
      </c>
      <c r="L33" s="165" t="s">
        <v>267</v>
      </c>
      <c r="M33" s="166" t="s">
        <v>31</v>
      </c>
      <c r="N33" s="166">
        <v>0</v>
      </c>
      <c r="O33" s="166">
        <v>7</v>
      </c>
      <c r="P33" s="166">
        <v>0</v>
      </c>
      <c r="Q33" s="206">
        <v>0</v>
      </c>
      <c r="S33" s="165"/>
      <c r="T33" s="166"/>
      <c r="U33" s="166"/>
      <c r="V33" s="166"/>
      <c r="W33" s="166"/>
      <c r="X33" s="206"/>
      <c r="Z33" s="207">
        <v>0</v>
      </c>
      <c r="AA33" s="208">
        <v>7</v>
      </c>
      <c r="AB33" s="208">
        <v>0</v>
      </c>
      <c r="AC33" s="175">
        <v>0</v>
      </c>
      <c r="AE33" s="207">
        <v>0</v>
      </c>
      <c r="AF33" s="208">
        <v>50.4</v>
      </c>
      <c r="AG33" s="208">
        <v>0</v>
      </c>
      <c r="AH33" s="226">
        <v>0</v>
      </c>
      <c r="AI33" s="179">
        <v>50.4</v>
      </c>
    </row>
    <row r="34" spans="1:35" ht="15.75" thickBot="1" x14ac:dyDescent="0.3">
      <c r="A34" s="172" t="s">
        <v>293</v>
      </c>
      <c r="B34" s="176" t="s">
        <v>287</v>
      </c>
      <c r="C34" s="183">
        <v>499.2</v>
      </c>
      <c r="D34" s="189">
        <v>40</v>
      </c>
      <c r="E34">
        <v>551</v>
      </c>
      <c r="F34" s="119">
        <f t="shared" si="2"/>
        <v>-51.800000000000011</v>
      </c>
      <c r="G34">
        <v>0.61199999999999999</v>
      </c>
      <c r="H34" s="23"/>
      <c r="I34" s="23"/>
      <c r="J34" s="37"/>
      <c r="L34" s="167" t="s">
        <v>267</v>
      </c>
      <c r="M34" s="168" t="s">
        <v>30</v>
      </c>
      <c r="N34" s="168">
        <v>0</v>
      </c>
      <c r="O34" s="168">
        <v>3</v>
      </c>
      <c r="P34" s="168">
        <v>0</v>
      </c>
      <c r="Q34" s="176">
        <v>0</v>
      </c>
      <c r="S34" s="210" t="s">
        <v>267</v>
      </c>
      <c r="T34" s="168" t="s">
        <v>107</v>
      </c>
      <c r="U34" s="211"/>
      <c r="V34" s="211">
        <v>2</v>
      </c>
      <c r="W34" s="211"/>
      <c r="X34" s="212"/>
      <c r="Z34" s="167">
        <v>0</v>
      </c>
      <c r="AA34" s="168">
        <v>5</v>
      </c>
      <c r="AB34" s="168">
        <v>0</v>
      </c>
      <c r="AC34" s="176">
        <v>0</v>
      </c>
      <c r="AE34" s="207">
        <v>0</v>
      </c>
      <c r="AF34" s="208">
        <v>36</v>
      </c>
      <c r="AG34" s="208">
        <v>0</v>
      </c>
      <c r="AH34" s="226">
        <v>0</v>
      </c>
      <c r="AI34" s="179">
        <v>36</v>
      </c>
    </row>
    <row r="35" spans="1:35" ht="15.75" thickBot="1" x14ac:dyDescent="0.3">
      <c r="A35" s="172" t="s">
        <v>293</v>
      </c>
      <c r="B35" s="176" t="s">
        <v>288</v>
      </c>
      <c r="C35" s="183">
        <v>1106.4000000000001</v>
      </c>
      <c r="D35" s="189">
        <v>55</v>
      </c>
      <c r="E35">
        <v>758</v>
      </c>
      <c r="F35" s="119">
        <f t="shared" si="2"/>
        <v>348.40000000000009</v>
      </c>
      <c r="G35" s="78">
        <v>1.5089999999999999</v>
      </c>
      <c r="H35" s="23">
        <f>G35/H$28</f>
        <v>0.48819152377871239</v>
      </c>
      <c r="I35" s="23">
        <f>D35*H35</f>
        <v>26.85053380782918</v>
      </c>
      <c r="J35" s="68">
        <f>I35*I$28</f>
        <v>431154.85441078193</v>
      </c>
      <c r="L35" s="167" t="s">
        <v>283</v>
      </c>
      <c r="M35" s="168" t="s">
        <v>100</v>
      </c>
      <c r="N35" s="168">
        <v>0</v>
      </c>
      <c r="O35" s="168">
        <v>2</v>
      </c>
      <c r="P35" s="168">
        <v>0</v>
      </c>
      <c r="Q35" s="176">
        <v>0</v>
      </c>
      <c r="S35" s="167"/>
      <c r="T35" s="168"/>
      <c r="U35" s="168"/>
      <c r="V35" s="168"/>
      <c r="W35" s="168"/>
      <c r="X35" s="176"/>
      <c r="Z35" s="167">
        <v>0</v>
      </c>
      <c r="AA35" s="168">
        <v>2</v>
      </c>
      <c r="AB35" s="168">
        <v>0</v>
      </c>
      <c r="AC35" s="176">
        <v>0</v>
      </c>
      <c r="AE35" s="207">
        <v>0</v>
      </c>
      <c r="AF35" s="208">
        <v>14.4</v>
      </c>
      <c r="AG35" s="208">
        <v>0</v>
      </c>
      <c r="AH35" s="226">
        <v>0</v>
      </c>
      <c r="AI35" s="179">
        <v>14.4</v>
      </c>
    </row>
    <row r="36" spans="1:35" ht="15.75" thickBot="1" x14ac:dyDescent="0.3">
      <c r="A36" s="172" t="s">
        <v>293</v>
      </c>
      <c r="B36" s="176" t="s">
        <v>289</v>
      </c>
      <c r="C36" s="183">
        <v>21.6</v>
      </c>
      <c r="D36" s="190">
        <v>0</v>
      </c>
      <c r="H36" s="23"/>
      <c r="I36" s="23"/>
      <c r="J36" s="37"/>
      <c r="L36" s="167" t="s">
        <v>284</v>
      </c>
      <c r="M36" s="168" t="s">
        <v>100</v>
      </c>
      <c r="N36" s="168">
        <v>0</v>
      </c>
      <c r="O36" s="168">
        <v>2</v>
      </c>
      <c r="P36" s="168">
        <v>0</v>
      </c>
      <c r="Q36" s="176">
        <v>0</v>
      </c>
      <c r="S36" s="167"/>
      <c r="T36" s="168"/>
      <c r="U36" s="168"/>
      <c r="V36" s="168"/>
      <c r="W36" s="168"/>
      <c r="X36" s="176"/>
      <c r="Z36" s="167">
        <v>0</v>
      </c>
      <c r="AA36" s="168">
        <v>2</v>
      </c>
      <c r="AB36" s="168">
        <v>0</v>
      </c>
      <c r="AC36" s="176">
        <v>0</v>
      </c>
      <c r="AE36" s="207">
        <v>0</v>
      </c>
      <c r="AF36" s="208">
        <v>14.4</v>
      </c>
      <c r="AG36" s="208">
        <v>0</v>
      </c>
      <c r="AH36" s="226">
        <v>0</v>
      </c>
      <c r="AI36" s="179">
        <v>14.4</v>
      </c>
    </row>
    <row r="37" spans="1:35" ht="15.75" thickBot="1" x14ac:dyDescent="0.3">
      <c r="A37" s="172" t="s">
        <v>125</v>
      </c>
      <c r="B37" s="176" t="s">
        <v>127</v>
      </c>
      <c r="C37" s="183">
        <v>652.80000000000007</v>
      </c>
      <c r="D37" s="189">
        <v>32</v>
      </c>
      <c r="E37">
        <v>441</v>
      </c>
      <c r="F37" s="119">
        <f>C37-E37</f>
        <v>211.80000000000007</v>
      </c>
      <c r="G37">
        <v>0.13300000000000001</v>
      </c>
      <c r="H37" s="23"/>
      <c r="I37" s="23"/>
      <c r="J37" s="37"/>
      <c r="L37" s="167" t="s">
        <v>284</v>
      </c>
      <c r="M37" s="168" t="s">
        <v>107</v>
      </c>
      <c r="N37" s="168">
        <v>0</v>
      </c>
      <c r="O37" s="168">
        <v>5</v>
      </c>
      <c r="P37" s="168">
        <v>0</v>
      </c>
      <c r="Q37" s="176">
        <v>1</v>
      </c>
      <c r="S37" s="210" t="s">
        <v>284</v>
      </c>
      <c r="T37" s="168" t="s">
        <v>107</v>
      </c>
      <c r="U37" s="211"/>
      <c r="V37" s="211">
        <v>5</v>
      </c>
      <c r="W37" s="211"/>
      <c r="X37" s="212">
        <v>1</v>
      </c>
      <c r="Z37" s="167">
        <v>0</v>
      </c>
      <c r="AA37" s="168">
        <v>10</v>
      </c>
      <c r="AB37" s="168">
        <v>0</v>
      </c>
      <c r="AC37" s="176">
        <v>2</v>
      </c>
      <c r="AE37" s="207">
        <v>0</v>
      </c>
      <c r="AF37" s="208">
        <v>72</v>
      </c>
      <c r="AG37" s="208">
        <v>0</v>
      </c>
      <c r="AH37" s="226">
        <v>14.4</v>
      </c>
      <c r="AI37" s="179">
        <v>86.4</v>
      </c>
    </row>
    <row r="38" spans="1:35" ht="15.75" thickBot="1" x14ac:dyDescent="0.3">
      <c r="A38" s="172" t="s">
        <v>125</v>
      </c>
      <c r="B38" s="176" t="s">
        <v>290</v>
      </c>
      <c r="C38" s="183">
        <v>832.80000000000007</v>
      </c>
      <c r="D38" s="189">
        <v>44</v>
      </c>
      <c r="E38">
        <v>606</v>
      </c>
      <c r="F38" s="119">
        <f>C38-E38</f>
        <v>226.80000000000007</v>
      </c>
      <c r="G38" s="78">
        <v>0.85099999999999998</v>
      </c>
      <c r="H38" s="23">
        <f>G38/H$28</f>
        <v>0.27531543189906182</v>
      </c>
      <c r="I38" s="23">
        <f>D38*H38</f>
        <v>12.11387900355872</v>
      </c>
      <c r="J38" s="68">
        <f>I38*I$28</f>
        <v>194519.6983981845</v>
      </c>
      <c r="L38" s="167" t="s">
        <v>285</v>
      </c>
      <c r="M38" s="168" t="s">
        <v>286</v>
      </c>
      <c r="N38" s="168">
        <v>31</v>
      </c>
      <c r="O38" s="168">
        <v>89</v>
      </c>
      <c r="P38" s="168">
        <v>1</v>
      </c>
      <c r="Q38" s="176">
        <v>7</v>
      </c>
      <c r="S38" s="210" t="s">
        <v>285</v>
      </c>
      <c r="T38" s="168" t="s">
        <v>286</v>
      </c>
      <c r="U38" s="211">
        <v>4</v>
      </c>
      <c r="V38" s="211">
        <v>39</v>
      </c>
      <c r="W38" s="211"/>
      <c r="X38" s="212">
        <v>5</v>
      </c>
      <c r="Z38" s="167">
        <v>35</v>
      </c>
      <c r="AA38" s="168">
        <v>128</v>
      </c>
      <c r="AB38" s="168">
        <v>1</v>
      </c>
      <c r="AC38" s="176">
        <v>12</v>
      </c>
      <c r="AE38" s="207">
        <v>420</v>
      </c>
      <c r="AF38" s="208">
        <v>921.6</v>
      </c>
      <c r="AG38" s="208">
        <v>12</v>
      </c>
      <c r="AH38" s="226">
        <v>86.4</v>
      </c>
      <c r="AI38" s="179">
        <v>1440</v>
      </c>
    </row>
    <row r="39" spans="1:35" ht="15.75" thickBot="1" x14ac:dyDescent="0.3">
      <c r="A39" s="172" t="s">
        <v>294</v>
      </c>
      <c r="B39" s="176" t="s">
        <v>107</v>
      </c>
      <c r="C39" s="183">
        <v>40.799999999999997</v>
      </c>
      <c r="D39" s="189">
        <v>9</v>
      </c>
      <c r="E39">
        <v>124</v>
      </c>
      <c r="F39" s="119">
        <f>C39-E39</f>
        <v>-83.2</v>
      </c>
      <c r="G39">
        <v>-1.2430000000000001</v>
      </c>
      <c r="I39" s="23"/>
      <c r="L39" s="167" t="s">
        <v>285</v>
      </c>
      <c r="M39" s="168" t="s">
        <v>287</v>
      </c>
      <c r="N39" s="168">
        <v>3</v>
      </c>
      <c r="O39" s="168">
        <v>2</v>
      </c>
      <c r="P39" s="168">
        <v>4</v>
      </c>
      <c r="Q39" s="176">
        <v>3</v>
      </c>
      <c r="S39" s="210" t="s">
        <v>285</v>
      </c>
      <c r="T39" s="168" t="s">
        <v>287</v>
      </c>
      <c r="U39" s="211">
        <v>9</v>
      </c>
      <c r="V39" s="211">
        <v>2</v>
      </c>
      <c r="W39" s="211">
        <v>19</v>
      </c>
      <c r="X39" s="212">
        <v>4</v>
      </c>
      <c r="Z39" s="167">
        <v>12</v>
      </c>
      <c r="AA39" s="168">
        <v>4</v>
      </c>
      <c r="AB39" s="168">
        <v>23</v>
      </c>
      <c r="AC39" s="176">
        <v>7</v>
      </c>
      <c r="AE39" s="207">
        <v>144</v>
      </c>
      <c r="AF39" s="208">
        <v>28.8</v>
      </c>
      <c r="AG39" s="208">
        <v>276</v>
      </c>
      <c r="AH39" s="226">
        <v>50.4</v>
      </c>
      <c r="AI39" s="179">
        <v>499.2</v>
      </c>
    </row>
    <row r="40" spans="1:35" ht="15.75" thickBot="1" x14ac:dyDescent="0.3">
      <c r="A40" s="173" t="s">
        <v>294</v>
      </c>
      <c r="B40" s="177" t="s">
        <v>292</v>
      </c>
      <c r="C40" s="184">
        <v>36</v>
      </c>
      <c r="D40" s="193">
        <v>1</v>
      </c>
      <c r="H40">
        <f>SUM(H30:H39)</f>
        <v>1</v>
      </c>
      <c r="I40" s="23">
        <f>SUM(I30:I39)</f>
        <v>48.897120672921389</v>
      </c>
      <c r="J40" s="67">
        <f>SUM(J30:J39)</f>
        <v>785169.89999999991</v>
      </c>
      <c r="L40" s="167" t="s">
        <v>285</v>
      </c>
      <c r="M40" s="168" t="s">
        <v>288</v>
      </c>
      <c r="N40" s="168">
        <v>10</v>
      </c>
      <c r="O40" s="168">
        <v>73</v>
      </c>
      <c r="P40" s="168">
        <v>0</v>
      </c>
      <c r="Q40" s="176">
        <v>6</v>
      </c>
      <c r="S40" s="210" t="s">
        <v>285</v>
      </c>
      <c r="T40" s="168" t="s">
        <v>288</v>
      </c>
      <c r="U40" s="211">
        <v>6</v>
      </c>
      <c r="V40" s="211">
        <v>43</v>
      </c>
      <c r="W40" s="211"/>
      <c r="X40" s="212">
        <v>5</v>
      </c>
      <c r="Z40" s="167">
        <v>16</v>
      </c>
      <c r="AA40" s="168">
        <v>116</v>
      </c>
      <c r="AB40" s="168">
        <v>0</v>
      </c>
      <c r="AC40" s="176">
        <v>11</v>
      </c>
      <c r="AE40" s="207">
        <v>192</v>
      </c>
      <c r="AF40" s="208">
        <v>835.2</v>
      </c>
      <c r="AG40" s="208">
        <v>0</v>
      </c>
      <c r="AH40" s="226">
        <v>79.2</v>
      </c>
      <c r="AI40" s="179">
        <v>1106.4000000000001</v>
      </c>
    </row>
    <row r="41" spans="1:35" ht="15.75" thickBot="1" x14ac:dyDescent="0.3">
      <c r="L41" s="167" t="s">
        <v>285</v>
      </c>
      <c r="M41" s="168" t="s">
        <v>289</v>
      </c>
      <c r="N41" s="168">
        <v>0</v>
      </c>
      <c r="O41" s="168">
        <v>3</v>
      </c>
      <c r="P41" s="168">
        <v>0</v>
      </c>
      <c r="Q41" s="176">
        <v>0</v>
      </c>
      <c r="S41" s="167"/>
      <c r="T41" s="168"/>
      <c r="U41" s="168"/>
      <c r="V41" s="168"/>
      <c r="W41" s="168"/>
      <c r="X41" s="176"/>
      <c r="Z41" s="167">
        <v>0</v>
      </c>
      <c r="AA41" s="168">
        <v>3</v>
      </c>
      <c r="AB41" s="168">
        <v>0</v>
      </c>
      <c r="AC41" s="176">
        <v>0</v>
      </c>
      <c r="AE41" s="207">
        <v>0</v>
      </c>
      <c r="AF41" s="208">
        <v>21.6</v>
      </c>
      <c r="AG41" s="208">
        <v>0</v>
      </c>
      <c r="AH41" s="226">
        <v>0</v>
      </c>
      <c r="AI41" s="179">
        <v>21.6</v>
      </c>
    </row>
    <row r="42" spans="1:35" ht="15.75" thickBot="1" x14ac:dyDescent="0.3">
      <c r="L42" s="167" t="s">
        <v>279</v>
      </c>
      <c r="M42" s="168" t="s">
        <v>127</v>
      </c>
      <c r="N42" s="168">
        <v>6</v>
      </c>
      <c r="O42" s="168">
        <v>43</v>
      </c>
      <c r="P42" s="168">
        <v>0</v>
      </c>
      <c r="Q42" s="176">
        <v>0</v>
      </c>
      <c r="S42" s="210" t="s">
        <v>279</v>
      </c>
      <c r="T42" s="168" t="s">
        <v>127</v>
      </c>
      <c r="U42" s="211">
        <v>5</v>
      </c>
      <c r="V42" s="211">
        <v>25</v>
      </c>
      <c r="W42" s="211">
        <v>2</v>
      </c>
      <c r="X42" s="212">
        <v>1</v>
      </c>
      <c r="Z42" s="167">
        <v>11</v>
      </c>
      <c r="AA42" s="168">
        <v>68</v>
      </c>
      <c r="AB42" s="168">
        <v>2</v>
      </c>
      <c r="AC42" s="176">
        <v>1</v>
      </c>
      <c r="AE42" s="207">
        <v>132</v>
      </c>
      <c r="AF42" s="208">
        <v>489.6</v>
      </c>
      <c r="AG42" s="208">
        <v>24</v>
      </c>
      <c r="AH42" s="226">
        <v>7.2</v>
      </c>
      <c r="AI42" s="179">
        <v>652.80000000000007</v>
      </c>
    </row>
    <row r="43" spans="1:35" ht="15.75" thickBot="1" x14ac:dyDescent="0.3">
      <c r="L43" s="167" t="s">
        <v>279</v>
      </c>
      <c r="M43" s="168" t="s">
        <v>290</v>
      </c>
      <c r="N43" s="168">
        <v>18</v>
      </c>
      <c r="O43" s="168">
        <v>48</v>
      </c>
      <c r="P43" s="168">
        <v>0</v>
      </c>
      <c r="Q43" s="176">
        <v>0</v>
      </c>
      <c r="S43" s="210" t="s">
        <v>279</v>
      </c>
      <c r="T43" s="168" t="s">
        <v>290</v>
      </c>
      <c r="U43" s="211">
        <v>6</v>
      </c>
      <c r="V43" s="211">
        <v>26</v>
      </c>
      <c r="W43" s="211">
        <v>1</v>
      </c>
      <c r="X43" s="212"/>
      <c r="Z43" s="167">
        <v>24</v>
      </c>
      <c r="AA43" s="168">
        <v>74</v>
      </c>
      <c r="AB43" s="168">
        <v>1</v>
      </c>
      <c r="AC43" s="176">
        <v>0</v>
      </c>
      <c r="AE43" s="207">
        <v>288</v>
      </c>
      <c r="AF43" s="208">
        <v>532.80000000000007</v>
      </c>
      <c r="AG43" s="208">
        <v>12</v>
      </c>
      <c r="AH43" s="226">
        <v>0</v>
      </c>
      <c r="AI43" s="179">
        <v>832.80000000000007</v>
      </c>
    </row>
    <row r="44" spans="1:35" ht="15.75" thickBot="1" x14ac:dyDescent="0.3">
      <c r="L44" s="167" t="s">
        <v>291</v>
      </c>
      <c r="M44" s="168" t="s">
        <v>107</v>
      </c>
      <c r="N44" s="168">
        <v>1</v>
      </c>
      <c r="O44" s="168">
        <v>1</v>
      </c>
      <c r="P44" s="168">
        <v>0</v>
      </c>
      <c r="Q44" s="176">
        <v>0</v>
      </c>
      <c r="S44" s="210" t="s">
        <v>291</v>
      </c>
      <c r="T44" s="168" t="s">
        <v>107</v>
      </c>
      <c r="U44" s="211"/>
      <c r="V44" s="211">
        <v>3</v>
      </c>
      <c r="W44" s="211"/>
      <c r="X44" s="212"/>
      <c r="Z44" s="167">
        <v>1</v>
      </c>
      <c r="AA44" s="168">
        <v>4</v>
      </c>
      <c r="AB44" s="168">
        <v>0</v>
      </c>
      <c r="AC44" s="176">
        <v>0</v>
      </c>
      <c r="AE44" s="207">
        <v>12</v>
      </c>
      <c r="AF44" s="208">
        <v>28.8</v>
      </c>
      <c r="AG44" s="208">
        <v>0</v>
      </c>
      <c r="AH44" s="226">
        <v>0</v>
      </c>
      <c r="AI44" s="179">
        <v>40.799999999999997</v>
      </c>
    </row>
    <row r="45" spans="1:35" ht="15.75" thickBot="1" x14ac:dyDescent="0.3">
      <c r="L45" s="170" t="s">
        <v>291</v>
      </c>
      <c r="M45" s="171" t="s">
        <v>292</v>
      </c>
      <c r="N45" s="171">
        <v>0</v>
      </c>
      <c r="O45" s="171">
        <v>3</v>
      </c>
      <c r="P45" s="171">
        <v>0</v>
      </c>
      <c r="Q45" s="177">
        <v>0</v>
      </c>
      <c r="S45" s="214" t="s">
        <v>291</v>
      </c>
      <c r="T45" s="171" t="s">
        <v>292</v>
      </c>
      <c r="U45" s="215"/>
      <c r="V45" s="215">
        <v>2</v>
      </c>
      <c r="W45" s="215"/>
      <c r="X45" s="216"/>
      <c r="Z45" s="170">
        <v>0</v>
      </c>
      <c r="AA45" s="171">
        <v>5</v>
      </c>
      <c r="AB45" s="171">
        <v>0</v>
      </c>
      <c r="AC45" s="177">
        <v>0</v>
      </c>
      <c r="AE45" s="227">
        <v>0</v>
      </c>
      <c r="AF45" s="228">
        <v>36</v>
      </c>
      <c r="AG45" s="228">
        <v>0</v>
      </c>
      <c r="AH45" s="229">
        <v>0</v>
      </c>
      <c r="AI45" s="181">
        <v>36</v>
      </c>
    </row>
    <row r="46" spans="1:35" ht="15.75" thickBot="1" x14ac:dyDescent="0.3">
      <c r="N46">
        <f t="shared" ref="N46:Q46" si="3">SUM(N33:N45)</f>
        <v>69</v>
      </c>
      <c r="O46">
        <f t="shared" si="3"/>
        <v>281</v>
      </c>
      <c r="P46">
        <f t="shared" si="3"/>
        <v>5</v>
      </c>
      <c r="Q46">
        <f t="shared" si="3"/>
        <v>17</v>
      </c>
      <c r="U46">
        <f t="shared" ref="U46:W46" si="4">SUM(U33:U45)</f>
        <v>30</v>
      </c>
      <c r="V46">
        <f t="shared" si="4"/>
        <v>147</v>
      </c>
      <c r="W46">
        <f t="shared" si="4"/>
        <v>22</v>
      </c>
      <c r="X46">
        <f>SUM(X33:X45)</f>
        <v>16</v>
      </c>
      <c r="Z46" s="221">
        <v>99</v>
      </c>
      <c r="AA46" s="221">
        <v>428</v>
      </c>
      <c r="AB46" s="221">
        <v>27</v>
      </c>
      <c r="AC46" s="222">
        <v>33</v>
      </c>
      <c r="AD46" s="230"/>
      <c r="AE46" s="221">
        <v>1188</v>
      </c>
      <c r="AF46" s="221">
        <v>3081.6000000000004</v>
      </c>
      <c r="AG46" s="221">
        <v>324</v>
      </c>
      <c r="AH46" s="231">
        <v>237.60000000000002</v>
      </c>
      <c r="AI46" s="222">
        <v>4831.2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8"/>
  <sheetViews>
    <sheetView workbookViewId="0">
      <pane ySplit="2" topLeftCell="A3" activePane="bottomLeft" state="frozen"/>
      <selection pane="bottomLeft" activeCell="C45" sqref="C45"/>
    </sheetView>
  </sheetViews>
  <sheetFormatPr defaultColWidth="8.7109375" defaultRowHeight="15" x14ac:dyDescent="0.25"/>
  <cols>
    <col min="1" max="1" width="66" style="16" bestFit="1" customWidth="1"/>
    <col min="2" max="2" width="56.140625" style="16" bestFit="1" customWidth="1"/>
    <col min="3" max="3" width="9" style="1" customWidth="1"/>
    <col min="4" max="4" width="15.7109375" customWidth="1"/>
    <col min="5" max="5" width="14.7109375" customWidth="1"/>
    <col min="6" max="6" width="16.140625" customWidth="1"/>
    <col min="8" max="8" width="24.7109375" customWidth="1"/>
    <col min="9" max="9" width="17.5703125" customWidth="1"/>
    <col min="10" max="10" width="13.85546875" customWidth="1"/>
    <col min="11" max="11" width="12.85546875" customWidth="1"/>
    <col min="12" max="12" width="7.5703125" customWidth="1"/>
    <col min="14" max="14" width="17.28515625" customWidth="1"/>
    <col min="15" max="15" width="15.28515625" customWidth="1"/>
    <col min="16" max="16" width="17.140625" customWidth="1"/>
    <col min="18" max="18" width="10" customWidth="1"/>
    <col min="19" max="19" width="15.5703125" customWidth="1"/>
    <col min="20" max="20" width="17" customWidth="1"/>
    <col min="21" max="21" width="12.7109375" customWidth="1"/>
    <col min="22" max="22" width="16.85546875" customWidth="1"/>
    <col min="23" max="23" width="16.42578125" customWidth="1"/>
    <col min="24" max="24" width="12.140625" customWidth="1"/>
    <col min="27" max="27" width="12.7109375" customWidth="1"/>
    <col min="28" max="28" width="13.42578125" customWidth="1"/>
  </cols>
  <sheetData>
    <row r="1" spans="1:28" ht="75" x14ac:dyDescent="0.25">
      <c r="C1" s="2" t="s">
        <v>144</v>
      </c>
      <c r="D1" s="3" t="s">
        <v>5</v>
      </c>
      <c r="E1" s="3" t="s">
        <v>6</v>
      </c>
      <c r="F1" s="4" t="s">
        <v>7</v>
      </c>
      <c r="G1" s="3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  <c r="Z1" s="4" t="s">
        <v>27</v>
      </c>
      <c r="AA1" s="4" t="s">
        <v>28</v>
      </c>
      <c r="AB1" s="4" t="s">
        <v>29</v>
      </c>
    </row>
    <row r="2" spans="1:28" x14ac:dyDescent="0.25">
      <c r="A2" s="150" t="s">
        <v>0</v>
      </c>
      <c r="B2" s="150" t="s">
        <v>1</v>
      </c>
      <c r="C2" s="6"/>
    </row>
    <row r="3" spans="1:28" x14ac:dyDescent="0.25">
      <c r="A3" s="151" t="s">
        <v>3</v>
      </c>
      <c r="B3" s="151" t="s">
        <v>4</v>
      </c>
      <c r="C3" s="1">
        <f t="shared" ref="C3:C16" si="0">SUM(D3:AB3)</f>
        <v>124</v>
      </c>
      <c r="D3" s="8">
        <v>10</v>
      </c>
      <c r="E3" s="8">
        <v>0</v>
      </c>
      <c r="F3" s="8">
        <v>0</v>
      </c>
      <c r="G3">
        <v>0</v>
      </c>
      <c r="H3">
        <v>0</v>
      </c>
      <c r="I3" s="8">
        <v>0</v>
      </c>
      <c r="J3" s="8">
        <v>105</v>
      </c>
      <c r="K3" s="8">
        <v>6</v>
      </c>
      <c r="L3" s="8">
        <v>0</v>
      </c>
      <c r="M3" s="8">
        <v>0</v>
      </c>
      <c r="N3" s="8">
        <v>0</v>
      </c>
      <c r="O3">
        <v>0</v>
      </c>
      <c r="P3" s="8">
        <v>0</v>
      </c>
      <c r="Q3" s="8">
        <v>0</v>
      </c>
      <c r="R3">
        <v>0</v>
      </c>
      <c r="S3">
        <v>0</v>
      </c>
      <c r="T3" s="8">
        <v>0</v>
      </c>
      <c r="U3">
        <v>0</v>
      </c>
      <c r="V3" s="8">
        <v>0</v>
      </c>
      <c r="W3">
        <v>0</v>
      </c>
      <c r="X3">
        <v>0</v>
      </c>
      <c r="Y3" s="8">
        <v>3</v>
      </c>
      <c r="Z3">
        <v>0</v>
      </c>
      <c r="AA3">
        <v>0</v>
      </c>
      <c r="AB3" s="8">
        <v>0</v>
      </c>
    </row>
    <row r="4" spans="1:28" x14ac:dyDescent="0.25">
      <c r="A4" s="151" t="s">
        <v>3</v>
      </c>
      <c r="B4" s="151" t="s">
        <v>30</v>
      </c>
      <c r="C4" s="1">
        <f t="shared" si="0"/>
        <v>154</v>
      </c>
      <c r="D4" s="8">
        <v>131</v>
      </c>
      <c r="E4" s="8">
        <v>11</v>
      </c>
      <c r="F4" s="8">
        <v>0</v>
      </c>
      <c r="G4">
        <v>0</v>
      </c>
      <c r="H4">
        <v>0</v>
      </c>
      <c r="I4" s="8">
        <v>12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>
        <v>0</v>
      </c>
      <c r="P4" s="8">
        <v>0</v>
      </c>
      <c r="Q4" s="8">
        <v>0</v>
      </c>
      <c r="R4">
        <v>0</v>
      </c>
      <c r="S4">
        <v>0</v>
      </c>
      <c r="T4" s="8">
        <v>0</v>
      </c>
      <c r="U4">
        <v>0</v>
      </c>
      <c r="V4" s="8">
        <v>0</v>
      </c>
      <c r="W4">
        <v>0</v>
      </c>
      <c r="X4">
        <v>0</v>
      </c>
      <c r="Y4" s="8">
        <v>0</v>
      </c>
      <c r="Z4">
        <v>0</v>
      </c>
      <c r="AA4">
        <v>0</v>
      </c>
      <c r="AB4" s="8">
        <v>0</v>
      </c>
    </row>
    <row r="5" spans="1:28" x14ac:dyDescent="0.25">
      <c r="A5" s="151" t="s">
        <v>3</v>
      </c>
      <c r="B5" s="151" t="s">
        <v>31</v>
      </c>
      <c r="C5" s="1">
        <f t="shared" si="0"/>
        <v>279</v>
      </c>
      <c r="D5" s="8">
        <v>14</v>
      </c>
      <c r="E5" s="8">
        <v>139</v>
      </c>
      <c r="F5" s="8">
        <v>52</v>
      </c>
      <c r="G5">
        <v>0</v>
      </c>
      <c r="H5">
        <v>0</v>
      </c>
      <c r="I5" s="8">
        <v>74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>
        <v>0</v>
      </c>
      <c r="P5" s="8">
        <v>0</v>
      </c>
      <c r="Q5" s="8">
        <v>0</v>
      </c>
      <c r="R5">
        <v>0</v>
      </c>
      <c r="S5">
        <v>0</v>
      </c>
      <c r="T5" s="8">
        <v>0</v>
      </c>
      <c r="U5">
        <v>0</v>
      </c>
      <c r="V5" s="8">
        <v>0</v>
      </c>
      <c r="W5">
        <v>0</v>
      </c>
      <c r="X5">
        <v>0</v>
      </c>
      <c r="Y5" s="8">
        <v>0</v>
      </c>
      <c r="Z5">
        <v>0</v>
      </c>
      <c r="AA5">
        <v>0</v>
      </c>
      <c r="AB5" s="8">
        <v>0</v>
      </c>
    </row>
    <row r="6" spans="1:28" x14ac:dyDescent="0.25">
      <c r="A6" s="151" t="s">
        <v>3</v>
      </c>
      <c r="B6" s="151" t="s">
        <v>32</v>
      </c>
      <c r="C6" s="1">
        <f t="shared" si="0"/>
        <v>229</v>
      </c>
      <c r="D6" s="8">
        <v>0</v>
      </c>
      <c r="E6" s="8">
        <v>6</v>
      </c>
      <c r="F6" s="8">
        <v>0</v>
      </c>
      <c r="G6">
        <v>0</v>
      </c>
      <c r="H6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>
        <v>0</v>
      </c>
      <c r="P6" s="8">
        <v>0</v>
      </c>
      <c r="Q6" s="8">
        <v>0</v>
      </c>
      <c r="R6">
        <v>0</v>
      </c>
      <c r="S6">
        <v>0</v>
      </c>
      <c r="T6" s="8">
        <v>0</v>
      </c>
      <c r="U6">
        <v>0</v>
      </c>
      <c r="V6" s="8">
        <v>223</v>
      </c>
      <c r="W6">
        <v>0</v>
      </c>
      <c r="X6">
        <v>0</v>
      </c>
      <c r="Y6" s="8">
        <v>0</v>
      </c>
      <c r="Z6">
        <v>0</v>
      </c>
      <c r="AA6">
        <v>0</v>
      </c>
      <c r="AB6" s="8">
        <v>0</v>
      </c>
    </row>
    <row r="7" spans="1:28" x14ac:dyDescent="0.25">
      <c r="A7" s="151" t="s">
        <v>3</v>
      </c>
      <c r="B7" s="151" t="s">
        <v>33</v>
      </c>
      <c r="C7" s="1">
        <f t="shared" si="0"/>
        <v>81</v>
      </c>
      <c r="D7" s="8">
        <v>0</v>
      </c>
      <c r="E7" s="8">
        <v>4</v>
      </c>
      <c r="F7" s="8">
        <v>0</v>
      </c>
      <c r="G7">
        <v>0</v>
      </c>
      <c r="H7">
        <v>0</v>
      </c>
      <c r="I7" s="8">
        <v>2</v>
      </c>
      <c r="J7" s="8">
        <v>1</v>
      </c>
      <c r="K7" s="8">
        <v>73</v>
      </c>
      <c r="L7" s="8">
        <v>0</v>
      </c>
      <c r="M7" s="8">
        <v>0</v>
      </c>
      <c r="N7" s="8">
        <v>0</v>
      </c>
      <c r="O7">
        <v>0</v>
      </c>
      <c r="P7" s="8">
        <v>0</v>
      </c>
      <c r="Q7" s="8">
        <v>0</v>
      </c>
      <c r="R7">
        <v>0</v>
      </c>
      <c r="S7">
        <v>0</v>
      </c>
      <c r="T7" s="8">
        <v>0</v>
      </c>
      <c r="U7">
        <v>0</v>
      </c>
      <c r="V7" s="8">
        <v>0</v>
      </c>
      <c r="W7">
        <v>0</v>
      </c>
      <c r="X7">
        <v>0</v>
      </c>
      <c r="Y7" s="8">
        <v>0</v>
      </c>
      <c r="Z7">
        <v>0</v>
      </c>
      <c r="AA7">
        <v>0</v>
      </c>
      <c r="AB7" s="8">
        <v>1</v>
      </c>
    </row>
    <row r="8" spans="1:28" x14ac:dyDescent="0.25">
      <c r="A8" s="151" t="s">
        <v>3</v>
      </c>
      <c r="B8" s="151" t="s">
        <v>34</v>
      </c>
      <c r="C8" s="1">
        <f t="shared" si="0"/>
        <v>345</v>
      </c>
      <c r="D8" s="8">
        <v>13</v>
      </c>
      <c r="E8" s="8">
        <v>7</v>
      </c>
      <c r="F8" s="8">
        <v>0</v>
      </c>
      <c r="G8">
        <v>0</v>
      </c>
      <c r="H8">
        <v>0</v>
      </c>
      <c r="I8" s="8">
        <v>0</v>
      </c>
      <c r="J8" s="8">
        <v>0</v>
      </c>
      <c r="K8" s="8">
        <v>0</v>
      </c>
      <c r="L8" s="8">
        <v>0</v>
      </c>
      <c r="M8" s="8">
        <v>110</v>
      </c>
      <c r="N8" s="8">
        <v>30</v>
      </c>
      <c r="O8">
        <v>0</v>
      </c>
      <c r="P8" s="8">
        <v>83</v>
      </c>
      <c r="Q8" s="8">
        <v>95</v>
      </c>
      <c r="R8">
        <v>0</v>
      </c>
      <c r="S8">
        <v>0</v>
      </c>
      <c r="T8" s="8">
        <v>0</v>
      </c>
      <c r="U8">
        <v>0</v>
      </c>
      <c r="V8" s="8">
        <v>0</v>
      </c>
      <c r="W8">
        <v>0</v>
      </c>
      <c r="X8">
        <v>0</v>
      </c>
      <c r="Y8" s="8">
        <v>7</v>
      </c>
      <c r="Z8">
        <v>0</v>
      </c>
      <c r="AA8">
        <v>0</v>
      </c>
      <c r="AB8" s="8">
        <v>0</v>
      </c>
    </row>
    <row r="9" spans="1:28" x14ac:dyDescent="0.25">
      <c r="A9" s="151" t="s">
        <v>3</v>
      </c>
      <c r="B9" s="151" t="s">
        <v>35</v>
      </c>
      <c r="C9" s="1">
        <f t="shared" si="0"/>
        <v>228</v>
      </c>
      <c r="D9" s="8">
        <v>0</v>
      </c>
      <c r="E9" s="8">
        <v>0</v>
      </c>
      <c r="F9" s="8">
        <v>0</v>
      </c>
      <c r="G9">
        <v>0</v>
      </c>
      <c r="H9">
        <v>0</v>
      </c>
      <c r="I9" s="8">
        <v>0</v>
      </c>
      <c r="J9" s="8">
        <v>0</v>
      </c>
      <c r="K9" s="8">
        <v>0</v>
      </c>
      <c r="L9" s="8">
        <v>113</v>
      </c>
      <c r="M9" s="8">
        <v>0</v>
      </c>
      <c r="N9" s="8">
        <v>0</v>
      </c>
      <c r="O9">
        <v>0</v>
      </c>
      <c r="P9" s="8">
        <v>0</v>
      </c>
      <c r="Q9" s="8">
        <v>0</v>
      </c>
      <c r="R9">
        <v>0</v>
      </c>
      <c r="S9">
        <v>0</v>
      </c>
      <c r="T9" s="8">
        <v>50</v>
      </c>
      <c r="U9">
        <v>0</v>
      </c>
      <c r="V9" s="8">
        <v>0</v>
      </c>
      <c r="W9">
        <v>0</v>
      </c>
      <c r="X9">
        <v>0</v>
      </c>
      <c r="Y9" s="8">
        <v>0</v>
      </c>
      <c r="Z9">
        <v>0</v>
      </c>
      <c r="AA9">
        <v>0</v>
      </c>
      <c r="AB9" s="8">
        <v>65</v>
      </c>
    </row>
    <row r="10" spans="1:28" x14ac:dyDescent="0.25">
      <c r="A10" s="151" t="s">
        <v>3</v>
      </c>
      <c r="B10" s="151" t="s">
        <v>36</v>
      </c>
      <c r="C10" s="1">
        <f t="shared" si="0"/>
        <v>488</v>
      </c>
      <c r="D10" s="8">
        <v>0</v>
      </c>
      <c r="E10" s="8">
        <v>13</v>
      </c>
      <c r="F10" s="8">
        <v>0</v>
      </c>
      <c r="G10">
        <v>0</v>
      </c>
      <c r="H10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>
        <v>0</v>
      </c>
      <c r="P10" s="8">
        <v>0</v>
      </c>
      <c r="Q10" s="8">
        <v>35</v>
      </c>
      <c r="R10">
        <v>0</v>
      </c>
      <c r="S10">
        <v>0</v>
      </c>
      <c r="T10" s="8">
        <v>0</v>
      </c>
      <c r="U10">
        <v>0</v>
      </c>
      <c r="V10" s="8">
        <v>434</v>
      </c>
      <c r="W10">
        <v>0</v>
      </c>
      <c r="X10">
        <v>0</v>
      </c>
      <c r="Y10" s="8">
        <v>6</v>
      </c>
      <c r="Z10">
        <v>0</v>
      </c>
      <c r="AA10">
        <v>0</v>
      </c>
      <c r="AB10" s="8">
        <v>0</v>
      </c>
    </row>
    <row r="11" spans="1:28" x14ac:dyDescent="0.25">
      <c r="A11" s="151" t="s">
        <v>3</v>
      </c>
      <c r="B11" s="151" t="s">
        <v>37</v>
      </c>
      <c r="C11" s="1">
        <f t="shared" si="0"/>
        <v>18</v>
      </c>
      <c r="D11" s="8">
        <v>0</v>
      </c>
      <c r="E11" s="8">
        <v>0</v>
      </c>
      <c r="F11" s="8">
        <v>0</v>
      </c>
      <c r="G11">
        <v>0</v>
      </c>
      <c r="H11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>
        <v>0</v>
      </c>
      <c r="P11" s="8">
        <v>0</v>
      </c>
      <c r="Q11" s="8">
        <v>0</v>
      </c>
      <c r="R11">
        <v>0</v>
      </c>
      <c r="S11">
        <v>0</v>
      </c>
      <c r="T11" s="8">
        <v>0</v>
      </c>
      <c r="U11">
        <v>0</v>
      </c>
      <c r="V11" s="8">
        <v>0</v>
      </c>
      <c r="W11">
        <v>0</v>
      </c>
      <c r="X11">
        <v>0</v>
      </c>
      <c r="Y11" s="8">
        <v>18</v>
      </c>
      <c r="Z11">
        <v>0</v>
      </c>
      <c r="AA11">
        <v>0</v>
      </c>
      <c r="AB11" s="8">
        <v>0</v>
      </c>
    </row>
    <row r="12" spans="1:28" x14ac:dyDescent="0.25">
      <c r="A12" s="151" t="s">
        <v>3</v>
      </c>
      <c r="B12" s="151" t="s">
        <v>38</v>
      </c>
      <c r="C12" s="1">
        <f t="shared" si="0"/>
        <v>46</v>
      </c>
      <c r="D12" s="8">
        <v>0</v>
      </c>
      <c r="E12" s="8">
        <v>4</v>
      </c>
      <c r="F12" s="8">
        <v>0</v>
      </c>
      <c r="G12">
        <v>0</v>
      </c>
      <c r="H12">
        <v>0</v>
      </c>
      <c r="I12" s="8">
        <v>36</v>
      </c>
      <c r="J12" s="8">
        <v>0</v>
      </c>
      <c r="K12" s="8">
        <v>6</v>
      </c>
      <c r="L12" s="8">
        <v>0</v>
      </c>
      <c r="M12" s="8">
        <v>0</v>
      </c>
      <c r="N12" s="8">
        <v>0</v>
      </c>
      <c r="O12">
        <v>0</v>
      </c>
      <c r="P12" s="8">
        <v>0</v>
      </c>
      <c r="Q12" s="8">
        <v>0</v>
      </c>
      <c r="R12">
        <v>0</v>
      </c>
      <c r="S12">
        <v>0</v>
      </c>
      <c r="T12" s="8">
        <v>0</v>
      </c>
      <c r="U12">
        <v>0</v>
      </c>
      <c r="V12" s="8">
        <v>0</v>
      </c>
      <c r="W12">
        <v>0</v>
      </c>
      <c r="X12">
        <v>0</v>
      </c>
      <c r="Y12" s="8">
        <v>0</v>
      </c>
      <c r="Z12">
        <v>0</v>
      </c>
      <c r="AA12">
        <v>0</v>
      </c>
      <c r="AB12" s="8">
        <v>0</v>
      </c>
    </row>
    <row r="13" spans="1:28" x14ac:dyDescent="0.25">
      <c r="A13" s="151" t="s">
        <v>3</v>
      </c>
      <c r="B13" s="151" t="s">
        <v>39</v>
      </c>
      <c r="C13" s="1">
        <f t="shared" si="0"/>
        <v>14</v>
      </c>
      <c r="D13" s="8">
        <v>0</v>
      </c>
      <c r="E13" s="8">
        <v>14</v>
      </c>
      <c r="F13" s="8">
        <v>0</v>
      </c>
      <c r="G13">
        <v>0</v>
      </c>
      <c r="H13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>
        <v>0</v>
      </c>
      <c r="P13" s="8">
        <v>0</v>
      </c>
      <c r="Q13" s="8">
        <v>0</v>
      </c>
      <c r="R13">
        <v>0</v>
      </c>
      <c r="S13">
        <v>0</v>
      </c>
      <c r="T13" s="8">
        <v>0</v>
      </c>
      <c r="U13">
        <v>0</v>
      </c>
      <c r="V13" s="8">
        <v>0</v>
      </c>
      <c r="W13">
        <v>0</v>
      </c>
      <c r="X13">
        <v>0</v>
      </c>
      <c r="Y13" s="8">
        <v>0</v>
      </c>
      <c r="Z13">
        <v>0</v>
      </c>
      <c r="AA13">
        <v>0</v>
      </c>
      <c r="AB13" s="8">
        <v>0</v>
      </c>
    </row>
    <row r="14" spans="1:28" x14ac:dyDescent="0.25">
      <c r="A14" s="151" t="s">
        <v>3</v>
      </c>
      <c r="B14" s="151" t="s">
        <v>40</v>
      </c>
      <c r="C14" s="1">
        <f t="shared" si="0"/>
        <v>22</v>
      </c>
      <c r="D14" s="8">
        <v>0</v>
      </c>
      <c r="E14" s="8">
        <v>21</v>
      </c>
      <c r="F14" s="8">
        <v>1</v>
      </c>
      <c r="G14">
        <v>0</v>
      </c>
      <c r="H14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>
        <v>0</v>
      </c>
      <c r="P14" s="8">
        <v>0</v>
      </c>
      <c r="Q14" s="8">
        <v>0</v>
      </c>
      <c r="R14">
        <v>0</v>
      </c>
      <c r="S14">
        <v>0</v>
      </c>
      <c r="T14" s="8">
        <v>0</v>
      </c>
      <c r="U14">
        <v>0</v>
      </c>
      <c r="V14" s="8">
        <v>0</v>
      </c>
      <c r="W14">
        <v>0</v>
      </c>
      <c r="X14">
        <v>0</v>
      </c>
      <c r="Y14" s="8">
        <v>0</v>
      </c>
      <c r="Z14">
        <v>0</v>
      </c>
      <c r="AA14">
        <v>0</v>
      </c>
      <c r="AB14" s="8">
        <v>0</v>
      </c>
    </row>
    <row r="15" spans="1:28" x14ac:dyDescent="0.25">
      <c r="A15" s="151" t="s">
        <v>3</v>
      </c>
      <c r="B15" s="151" t="s">
        <v>41</v>
      </c>
      <c r="C15" s="1">
        <f t="shared" si="0"/>
        <v>94</v>
      </c>
      <c r="D15" s="8">
        <v>8</v>
      </c>
      <c r="E15" s="8">
        <v>0</v>
      </c>
      <c r="F15" s="8">
        <v>0</v>
      </c>
      <c r="G15">
        <v>0</v>
      </c>
      <c r="H15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>
        <v>0</v>
      </c>
      <c r="P15" s="8">
        <v>0</v>
      </c>
      <c r="Q15" s="8">
        <v>0</v>
      </c>
      <c r="R15">
        <v>0</v>
      </c>
      <c r="S15">
        <v>0</v>
      </c>
      <c r="T15" s="8">
        <v>0</v>
      </c>
      <c r="U15">
        <v>0</v>
      </c>
      <c r="V15" s="8">
        <v>86</v>
      </c>
      <c r="W15">
        <v>0</v>
      </c>
      <c r="X15">
        <v>0</v>
      </c>
      <c r="Y15" s="8">
        <v>0</v>
      </c>
      <c r="Z15">
        <v>0</v>
      </c>
      <c r="AA15">
        <v>0</v>
      </c>
      <c r="AB15" s="8">
        <v>0</v>
      </c>
    </row>
    <row r="16" spans="1:28" x14ac:dyDescent="0.25">
      <c r="A16" s="151" t="s">
        <v>3</v>
      </c>
      <c r="B16" s="151" t="s">
        <v>42</v>
      </c>
      <c r="C16" s="1">
        <f t="shared" si="0"/>
        <v>6</v>
      </c>
      <c r="D16" s="8">
        <v>0</v>
      </c>
      <c r="E16" s="8">
        <v>0</v>
      </c>
      <c r="F16" s="8">
        <v>0</v>
      </c>
      <c r="G16">
        <v>0</v>
      </c>
      <c r="H16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>
        <v>0</v>
      </c>
      <c r="P16" s="8">
        <v>0</v>
      </c>
      <c r="Q16" s="8">
        <v>6</v>
      </c>
      <c r="R16">
        <v>0</v>
      </c>
      <c r="S16">
        <v>0</v>
      </c>
      <c r="T16" s="8">
        <v>0</v>
      </c>
      <c r="U16">
        <v>0</v>
      </c>
      <c r="V16" s="8">
        <v>0</v>
      </c>
      <c r="W16">
        <v>0</v>
      </c>
      <c r="X16">
        <v>0</v>
      </c>
      <c r="Y16" s="8">
        <v>0</v>
      </c>
      <c r="Z16">
        <v>0</v>
      </c>
      <c r="AA16">
        <v>0</v>
      </c>
      <c r="AB16" s="8">
        <v>0</v>
      </c>
    </row>
    <row r="17" spans="1:28" x14ac:dyDescent="0.25">
      <c r="A17" s="151" t="s">
        <v>43</v>
      </c>
      <c r="B17" s="151" t="s">
        <v>44</v>
      </c>
      <c r="C17" s="1">
        <f>SUM(D17:AB17)</f>
        <v>29</v>
      </c>
      <c r="D17">
        <v>1</v>
      </c>
      <c r="E17">
        <v>0</v>
      </c>
      <c r="F17">
        <v>0</v>
      </c>
      <c r="G17">
        <v>0</v>
      </c>
      <c r="H17">
        <v>10</v>
      </c>
      <c r="I17">
        <v>0</v>
      </c>
      <c r="J17">
        <v>0</v>
      </c>
      <c r="K17">
        <v>18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</row>
    <row r="18" spans="1:28" x14ac:dyDescent="0.25">
      <c r="A18" s="151" t="s">
        <v>43</v>
      </c>
      <c r="B18" s="151" t="s">
        <v>45</v>
      </c>
      <c r="C18" s="10">
        <f>SUM(D18:AB18)</f>
        <v>100</v>
      </c>
      <c r="D18">
        <v>0</v>
      </c>
      <c r="E18">
        <v>0</v>
      </c>
      <c r="F18">
        <v>0</v>
      </c>
      <c r="G18">
        <v>13</v>
      </c>
      <c r="H18">
        <v>87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</row>
    <row r="19" spans="1:28" x14ac:dyDescent="0.25">
      <c r="A19" s="151" t="s">
        <v>43</v>
      </c>
      <c r="B19" s="151" t="s">
        <v>46</v>
      </c>
      <c r="C19" s="10">
        <f>SUM(D19:AB19)</f>
        <v>182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57</v>
      </c>
      <c r="P19">
        <v>0</v>
      </c>
      <c r="Q19">
        <v>0</v>
      </c>
      <c r="R19">
        <v>79</v>
      </c>
      <c r="S19">
        <v>0</v>
      </c>
      <c r="T19">
        <v>33</v>
      </c>
      <c r="U19">
        <v>13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</row>
    <row r="20" spans="1:28" x14ac:dyDescent="0.25">
      <c r="A20" s="151" t="s">
        <v>43</v>
      </c>
      <c r="B20" s="151" t="s">
        <v>47</v>
      </c>
      <c r="C20" s="10">
        <f>SUM(D20:AB20)</f>
        <v>228</v>
      </c>
      <c r="D20">
        <v>0</v>
      </c>
      <c r="E20">
        <v>9</v>
      </c>
      <c r="F20">
        <v>0</v>
      </c>
      <c r="G20">
        <v>7</v>
      </c>
      <c r="H20">
        <v>149</v>
      </c>
      <c r="I20">
        <v>0</v>
      </c>
      <c r="J20">
        <v>0</v>
      </c>
      <c r="K20">
        <v>0</v>
      </c>
      <c r="L20">
        <v>4</v>
      </c>
      <c r="M20">
        <v>12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7</v>
      </c>
      <c r="Z20">
        <v>0</v>
      </c>
      <c r="AA20">
        <v>0</v>
      </c>
      <c r="AB20">
        <v>40</v>
      </c>
    </row>
    <row r="21" spans="1:28" x14ac:dyDescent="0.25">
      <c r="A21" s="151" t="s">
        <v>43</v>
      </c>
      <c r="B21" s="151" t="s">
        <v>48</v>
      </c>
      <c r="C21" s="10">
        <f t="shared" ref="C21:C33" si="1">SUM(D21:AB21)</f>
        <v>112</v>
      </c>
      <c r="D21">
        <v>0</v>
      </c>
      <c r="E21">
        <v>5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3</v>
      </c>
      <c r="M21">
        <v>0</v>
      </c>
      <c r="N21">
        <v>0</v>
      </c>
      <c r="O21">
        <v>0</v>
      </c>
      <c r="P21">
        <v>0</v>
      </c>
      <c r="Q21">
        <v>0</v>
      </c>
      <c r="R21">
        <v>83</v>
      </c>
      <c r="S21">
        <v>0</v>
      </c>
      <c r="T21">
        <v>10</v>
      </c>
      <c r="U21">
        <v>0</v>
      </c>
      <c r="V21">
        <v>0</v>
      </c>
      <c r="W21">
        <v>0</v>
      </c>
      <c r="X21">
        <v>0</v>
      </c>
      <c r="Y21">
        <v>4</v>
      </c>
      <c r="Z21">
        <v>0</v>
      </c>
      <c r="AA21">
        <v>0</v>
      </c>
      <c r="AB21">
        <v>7</v>
      </c>
    </row>
    <row r="22" spans="1:28" x14ac:dyDescent="0.25">
      <c r="A22" s="151" t="s">
        <v>43</v>
      </c>
      <c r="B22" s="151" t="s">
        <v>49</v>
      </c>
      <c r="C22" s="10">
        <f t="shared" si="1"/>
        <v>208</v>
      </c>
      <c r="D22">
        <v>4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73</v>
      </c>
      <c r="T22">
        <v>80</v>
      </c>
      <c r="U22">
        <v>19</v>
      </c>
      <c r="V22">
        <v>0</v>
      </c>
      <c r="W22">
        <v>0</v>
      </c>
      <c r="X22">
        <v>0</v>
      </c>
      <c r="Y22">
        <v>8</v>
      </c>
      <c r="Z22">
        <v>0</v>
      </c>
      <c r="AA22">
        <v>0</v>
      </c>
      <c r="AB22">
        <v>12</v>
      </c>
    </row>
    <row r="23" spans="1:28" x14ac:dyDescent="0.25">
      <c r="A23" s="151" t="s">
        <v>43</v>
      </c>
      <c r="B23" s="151" t="s">
        <v>50</v>
      </c>
      <c r="C23" s="10">
        <f t="shared" si="1"/>
        <v>258</v>
      </c>
      <c r="D23">
        <v>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224</v>
      </c>
      <c r="Q23">
        <v>0</v>
      </c>
      <c r="R23">
        <v>0</v>
      </c>
      <c r="S23">
        <v>0</v>
      </c>
      <c r="T23">
        <v>23</v>
      </c>
      <c r="U23">
        <v>0</v>
      </c>
      <c r="V23">
        <v>0</v>
      </c>
      <c r="W23">
        <v>0</v>
      </c>
      <c r="X23">
        <v>0</v>
      </c>
      <c r="Y23">
        <v>6</v>
      </c>
      <c r="Z23">
        <v>0</v>
      </c>
      <c r="AA23">
        <v>0</v>
      </c>
      <c r="AB23">
        <v>0</v>
      </c>
    </row>
    <row r="24" spans="1:28" x14ac:dyDescent="0.25">
      <c r="A24" s="151" t="s">
        <v>43</v>
      </c>
      <c r="B24" s="151" t="s">
        <v>51</v>
      </c>
      <c r="C24" s="10">
        <f t="shared" si="1"/>
        <v>46</v>
      </c>
      <c r="D24">
        <v>1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44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</row>
    <row r="25" spans="1:28" x14ac:dyDescent="0.25">
      <c r="A25" s="151" t="s">
        <v>52</v>
      </c>
      <c r="B25" s="151" t="s">
        <v>53</v>
      </c>
      <c r="C25" s="10">
        <f t="shared" si="1"/>
        <v>36</v>
      </c>
      <c r="D25">
        <v>0</v>
      </c>
      <c r="E25" s="8">
        <v>0</v>
      </c>
      <c r="F25">
        <v>0</v>
      </c>
      <c r="G25">
        <v>0</v>
      </c>
      <c r="H25">
        <v>0</v>
      </c>
      <c r="I25">
        <v>0</v>
      </c>
      <c r="J25">
        <v>0</v>
      </c>
      <c r="K25" s="8">
        <v>36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8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</row>
    <row r="26" spans="1:28" x14ac:dyDescent="0.25">
      <c r="A26" s="151" t="s">
        <v>52</v>
      </c>
      <c r="B26" s="151" t="s">
        <v>54</v>
      </c>
      <c r="C26" s="10">
        <f t="shared" si="1"/>
        <v>82</v>
      </c>
      <c r="D26">
        <v>0</v>
      </c>
      <c r="E26" s="8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8">
        <v>82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 s="8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</row>
    <row r="27" spans="1:28" x14ac:dyDescent="0.25">
      <c r="A27" s="151" t="s">
        <v>52</v>
      </c>
      <c r="B27" s="151" t="s">
        <v>55</v>
      </c>
      <c r="C27" s="10">
        <f t="shared" si="1"/>
        <v>73</v>
      </c>
      <c r="D27">
        <v>0</v>
      </c>
      <c r="E27" s="8">
        <v>0</v>
      </c>
      <c r="F27">
        <v>0</v>
      </c>
      <c r="G27">
        <v>0</v>
      </c>
      <c r="H27">
        <v>0</v>
      </c>
      <c r="I27">
        <v>0</v>
      </c>
      <c r="J27">
        <v>0</v>
      </c>
      <c r="K27" s="8">
        <v>73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8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</row>
    <row r="28" spans="1:28" x14ac:dyDescent="0.25">
      <c r="A28" s="151" t="s">
        <v>52</v>
      </c>
      <c r="B28" s="151" t="s">
        <v>56</v>
      </c>
      <c r="C28" s="10">
        <f t="shared" si="1"/>
        <v>90</v>
      </c>
      <c r="D28">
        <v>0</v>
      </c>
      <c r="E28" s="8">
        <v>0</v>
      </c>
      <c r="F28">
        <v>0</v>
      </c>
      <c r="G28">
        <v>0</v>
      </c>
      <c r="H28">
        <v>0</v>
      </c>
      <c r="I28">
        <v>0</v>
      </c>
      <c r="J28">
        <v>0</v>
      </c>
      <c r="K28" s="8">
        <v>90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</row>
    <row r="29" spans="1:28" x14ac:dyDescent="0.25">
      <c r="A29" s="151" t="s">
        <v>52</v>
      </c>
      <c r="B29" s="151" t="s">
        <v>57</v>
      </c>
      <c r="C29" s="10">
        <f t="shared" si="1"/>
        <v>78</v>
      </c>
      <c r="D29">
        <v>0</v>
      </c>
      <c r="E29" s="8">
        <v>0</v>
      </c>
      <c r="F29">
        <v>0</v>
      </c>
      <c r="G29">
        <v>0</v>
      </c>
      <c r="H29">
        <v>0</v>
      </c>
      <c r="I29">
        <v>0</v>
      </c>
      <c r="J29">
        <v>0</v>
      </c>
      <c r="K29" s="8">
        <v>65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 s="8">
        <v>13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</row>
    <row r="30" spans="1:28" x14ac:dyDescent="0.25">
      <c r="A30" s="151" t="s">
        <v>52</v>
      </c>
      <c r="B30" s="151" t="s">
        <v>58</v>
      </c>
      <c r="C30" s="10">
        <f t="shared" si="1"/>
        <v>56</v>
      </c>
      <c r="D30">
        <v>0</v>
      </c>
      <c r="E30" s="8">
        <v>56</v>
      </c>
      <c r="F30">
        <v>0</v>
      </c>
      <c r="G30">
        <v>0</v>
      </c>
      <c r="H30">
        <v>0</v>
      </c>
      <c r="I30">
        <v>0</v>
      </c>
      <c r="J30">
        <v>0</v>
      </c>
      <c r="K30" s="8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8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</row>
    <row r="31" spans="1:28" x14ac:dyDescent="0.25">
      <c r="A31" s="151" t="s">
        <v>52</v>
      </c>
      <c r="B31" s="151" t="s">
        <v>59</v>
      </c>
      <c r="C31" s="10">
        <f t="shared" si="1"/>
        <v>27</v>
      </c>
      <c r="D31">
        <v>0</v>
      </c>
      <c r="E31" s="8">
        <v>0</v>
      </c>
      <c r="F31">
        <v>0</v>
      </c>
      <c r="G31">
        <v>0</v>
      </c>
      <c r="H31">
        <v>0</v>
      </c>
      <c r="I31">
        <v>0</v>
      </c>
      <c r="J31">
        <v>0</v>
      </c>
      <c r="K31" s="8">
        <v>27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 s="8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</row>
    <row r="32" spans="1:28" x14ac:dyDescent="0.25">
      <c r="A32" s="151" t="s">
        <v>60</v>
      </c>
      <c r="B32" s="151" t="s">
        <v>61</v>
      </c>
      <c r="C32" s="10">
        <f t="shared" si="1"/>
        <v>72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 s="8">
        <v>0</v>
      </c>
      <c r="L32">
        <v>0</v>
      </c>
      <c r="M32">
        <v>0</v>
      </c>
      <c r="N32" s="8">
        <v>0</v>
      </c>
      <c r="O32">
        <v>0</v>
      </c>
      <c r="P32" s="8">
        <v>0</v>
      </c>
      <c r="Q32" s="8">
        <v>0</v>
      </c>
      <c r="R32" s="8">
        <v>72</v>
      </c>
      <c r="S32">
        <v>0</v>
      </c>
      <c r="T32">
        <v>0</v>
      </c>
      <c r="U32">
        <v>0</v>
      </c>
      <c r="V32">
        <v>0</v>
      </c>
      <c r="W32" s="8">
        <v>0</v>
      </c>
      <c r="X32">
        <v>0</v>
      </c>
      <c r="Y32">
        <v>0</v>
      </c>
      <c r="Z32">
        <v>0</v>
      </c>
      <c r="AA32">
        <v>0</v>
      </c>
      <c r="AB32">
        <v>0</v>
      </c>
    </row>
    <row r="33" spans="1:28" x14ac:dyDescent="0.25">
      <c r="A33" s="151" t="s">
        <v>60</v>
      </c>
      <c r="B33" s="151" t="s">
        <v>62</v>
      </c>
      <c r="C33" s="10">
        <f t="shared" si="1"/>
        <v>107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 s="8">
        <v>107</v>
      </c>
      <c r="L33">
        <v>0</v>
      </c>
      <c r="M33">
        <v>0</v>
      </c>
      <c r="N33" s="8">
        <v>0</v>
      </c>
      <c r="O33">
        <v>0</v>
      </c>
      <c r="P33" s="8">
        <v>0</v>
      </c>
      <c r="Q33" s="8">
        <v>0</v>
      </c>
      <c r="R33" s="8">
        <v>0</v>
      </c>
      <c r="S33">
        <v>0</v>
      </c>
      <c r="T33">
        <v>0</v>
      </c>
      <c r="U33">
        <v>0</v>
      </c>
      <c r="V33">
        <v>0</v>
      </c>
      <c r="W33" s="8">
        <v>0</v>
      </c>
      <c r="X33">
        <v>0</v>
      </c>
      <c r="Y33">
        <v>0</v>
      </c>
      <c r="Z33">
        <v>0</v>
      </c>
      <c r="AA33">
        <v>0</v>
      </c>
      <c r="AB33">
        <v>0</v>
      </c>
    </row>
    <row r="34" spans="1:28" x14ac:dyDescent="0.25">
      <c r="A34" s="151" t="s">
        <v>60</v>
      </c>
      <c r="B34" s="151" t="s">
        <v>63</v>
      </c>
      <c r="C34" s="10">
        <f t="shared" ref="C34:C39" si="2">SUM(D34:AB34)</f>
        <v>67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 s="8">
        <v>0</v>
      </c>
      <c r="L34">
        <v>0</v>
      </c>
      <c r="M34">
        <v>0</v>
      </c>
      <c r="N34" s="8">
        <v>0</v>
      </c>
      <c r="O34">
        <v>0</v>
      </c>
      <c r="P34" s="8">
        <v>12</v>
      </c>
      <c r="Q34" s="8">
        <v>14</v>
      </c>
      <c r="R34" s="8">
        <v>0</v>
      </c>
      <c r="S34">
        <v>0</v>
      </c>
      <c r="T34">
        <v>0</v>
      </c>
      <c r="U34">
        <v>0</v>
      </c>
      <c r="V34">
        <v>0</v>
      </c>
      <c r="W34" s="8">
        <v>41</v>
      </c>
      <c r="X34">
        <v>0</v>
      </c>
      <c r="Y34">
        <v>0</v>
      </c>
      <c r="Z34">
        <v>0</v>
      </c>
      <c r="AA34">
        <v>0</v>
      </c>
      <c r="AB34">
        <v>0</v>
      </c>
    </row>
    <row r="35" spans="1:28" x14ac:dyDescent="0.25">
      <c r="A35" s="151" t="s">
        <v>60</v>
      </c>
      <c r="B35" s="151" t="s">
        <v>64</v>
      </c>
      <c r="C35" s="10">
        <f t="shared" si="2"/>
        <v>34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 s="8">
        <v>24</v>
      </c>
      <c r="L35">
        <v>0</v>
      </c>
      <c r="M35">
        <v>0</v>
      </c>
      <c r="N35" s="8">
        <v>10</v>
      </c>
      <c r="O35">
        <v>0</v>
      </c>
      <c r="P35" s="8">
        <v>0</v>
      </c>
      <c r="Q35" s="8">
        <v>0</v>
      </c>
      <c r="R35" s="8">
        <v>0</v>
      </c>
      <c r="S35">
        <v>0</v>
      </c>
      <c r="T35">
        <v>0</v>
      </c>
      <c r="U35">
        <v>0</v>
      </c>
      <c r="V35">
        <v>0</v>
      </c>
      <c r="W35" s="8">
        <v>0</v>
      </c>
      <c r="X35">
        <v>0</v>
      </c>
      <c r="Y35">
        <v>0</v>
      </c>
      <c r="Z35">
        <v>0</v>
      </c>
      <c r="AA35">
        <v>0</v>
      </c>
      <c r="AB35">
        <v>0</v>
      </c>
    </row>
    <row r="36" spans="1:28" x14ac:dyDescent="0.25">
      <c r="A36" s="151" t="s">
        <v>60</v>
      </c>
      <c r="B36" s="151" t="s">
        <v>65</v>
      </c>
      <c r="C36" s="10">
        <f t="shared" si="2"/>
        <v>94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 s="8">
        <v>0</v>
      </c>
      <c r="L36">
        <v>0</v>
      </c>
      <c r="M36">
        <v>0</v>
      </c>
      <c r="N36" s="8">
        <v>0</v>
      </c>
      <c r="O36">
        <v>0</v>
      </c>
      <c r="P36" s="8">
        <v>0</v>
      </c>
      <c r="Q36" s="8">
        <v>0</v>
      </c>
      <c r="R36" s="8">
        <v>0</v>
      </c>
      <c r="S36">
        <v>0</v>
      </c>
      <c r="T36">
        <v>0</v>
      </c>
      <c r="U36">
        <v>0</v>
      </c>
      <c r="V36">
        <v>0</v>
      </c>
      <c r="W36" s="8">
        <v>94</v>
      </c>
      <c r="X36">
        <v>0</v>
      </c>
      <c r="Y36">
        <v>0</v>
      </c>
      <c r="Z36">
        <v>0</v>
      </c>
      <c r="AA36">
        <v>0</v>
      </c>
      <c r="AB36">
        <v>0</v>
      </c>
    </row>
    <row r="37" spans="1:28" x14ac:dyDescent="0.25">
      <c r="A37" s="151" t="s">
        <v>60</v>
      </c>
      <c r="B37" s="151" t="s">
        <v>66</v>
      </c>
      <c r="C37" s="10">
        <f t="shared" si="2"/>
        <v>46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 s="8">
        <v>0</v>
      </c>
      <c r="L37">
        <v>0</v>
      </c>
      <c r="M37">
        <v>0</v>
      </c>
      <c r="N37" s="8">
        <v>0</v>
      </c>
      <c r="O37">
        <v>0</v>
      </c>
      <c r="P37" s="8">
        <v>0</v>
      </c>
      <c r="Q37" s="8">
        <v>0</v>
      </c>
      <c r="R37" s="8">
        <v>0</v>
      </c>
      <c r="S37">
        <v>0</v>
      </c>
      <c r="T37">
        <v>0</v>
      </c>
      <c r="U37">
        <v>0</v>
      </c>
      <c r="V37">
        <v>0</v>
      </c>
      <c r="W37" s="8">
        <v>46</v>
      </c>
      <c r="X37">
        <v>0</v>
      </c>
      <c r="Y37">
        <v>0</v>
      </c>
      <c r="Z37">
        <v>0</v>
      </c>
      <c r="AA37">
        <v>0</v>
      </c>
      <c r="AB37">
        <v>0</v>
      </c>
    </row>
    <row r="38" spans="1:28" x14ac:dyDescent="0.25">
      <c r="A38" s="151" t="s">
        <v>60</v>
      </c>
      <c r="B38" s="151" t="s">
        <v>67</v>
      </c>
      <c r="C38" s="10">
        <f t="shared" si="2"/>
        <v>6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 s="8">
        <v>1</v>
      </c>
      <c r="L38">
        <v>0</v>
      </c>
      <c r="M38">
        <v>0</v>
      </c>
      <c r="N38" s="8">
        <v>0</v>
      </c>
      <c r="O38">
        <v>0</v>
      </c>
      <c r="P38" s="8">
        <v>3</v>
      </c>
      <c r="Q38" s="8">
        <v>0</v>
      </c>
      <c r="R38" s="8">
        <v>0</v>
      </c>
      <c r="S38">
        <v>0</v>
      </c>
      <c r="T38">
        <v>0</v>
      </c>
      <c r="U38">
        <v>0</v>
      </c>
      <c r="V38">
        <v>0</v>
      </c>
      <c r="W38" s="8">
        <v>2</v>
      </c>
      <c r="X38">
        <v>0</v>
      </c>
      <c r="Y38">
        <v>0</v>
      </c>
      <c r="Z38">
        <v>0</v>
      </c>
      <c r="AA38">
        <v>0</v>
      </c>
      <c r="AB38">
        <v>0</v>
      </c>
    </row>
    <row r="39" spans="1:28" x14ac:dyDescent="0.25">
      <c r="A39" s="151" t="s">
        <v>68</v>
      </c>
      <c r="B39" s="151" t="s">
        <v>69</v>
      </c>
      <c r="C39" s="10">
        <f t="shared" si="2"/>
        <v>10</v>
      </c>
      <c r="D39" s="8">
        <v>0</v>
      </c>
      <c r="E39" s="8">
        <v>0</v>
      </c>
      <c r="F39" s="8">
        <v>0</v>
      </c>
      <c r="G39" s="8">
        <v>1</v>
      </c>
      <c r="H39" s="8">
        <v>0</v>
      </c>
      <c r="I39" s="8">
        <v>0</v>
      </c>
      <c r="J39" s="8">
        <v>0</v>
      </c>
      <c r="K39" s="8">
        <v>3</v>
      </c>
      <c r="L39" s="8">
        <v>0</v>
      </c>
      <c r="M39" s="8">
        <v>0</v>
      </c>
      <c r="N39" s="8">
        <v>1</v>
      </c>
      <c r="O39" s="8">
        <v>0</v>
      </c>
      <c r="P39" s="8">
        <v>0</v>
      </c>
      <c r="Q39" s="8">
        <v>0</v>
      </c>
      <c r="R39" s="8">
        <v>1</v>
      </c>
      <c r="S39" s="8">
        <v>0</v>
      </c>
      <c r="T39" s="8">
        <v>0</v>
      </c>
      <c r="U39" s="8">
        <v>1</v>
      </c>
      <c r="V39" s="8">
        <v>0</v>
      </c>
      <c r="W39" s="8">
        <v>2</v>
      </c>
      <c r="X39" s="8">
        <v>0</v>
      </c>
      <c r="Y39" s="8">
        <v>0</v>
      </c>
      <c r="Z39" s="8">
        <v>0</v>
      </c>
      <c r="AA39" s="8">
        <v>1</v>
      </c>
      <c r="AB39" s="8">
        <v>0</v>
      </c>
    </row>
    <row r="40" spans="1:28" x14ac:dyDescent="0.25">
      <c r="A40" s="151" t="s">
        <v>68</v>
      </c>
      <c r="B40" s="151" t="s">
        <v>70</v>
      </c>
      <c r="C40" s="10">
        <f>SUM(D40:AB40)</f>
        <v>94</v>
      </c>
      <c r="D40" s="8">
        <v>0</v>
      </c>
      <c r="E40" s="8">
        <v>0</v>
      </c>
      <c r="F40" s="8">
        <v>0</v>
      </c>
      <c r="G40" s="8">
        <v>13</v>
      </c>
      <c r="H40" s="8">
        <v>0</v>
      </c>
      <c r="I40" s="8">
        <v>0</v>
      </c>
      <c r="J40" s="8">
        <v>0</v>
      </c>
      <c r="K40" s="8">
        <v>20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50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11</v>
      </c>
      <c r="AB40" s="8">
        <v>0</v>
      </c>
    </row>
    <row r="41" spans="1:28" x14ac:dyDescent="0.25">
      <c r="A41" s="151" t="s">
        <v>68</v>
      </c>
      <c r="B41" s="151" t="s">
        <v>71</v>
      </c>
      <c r="C41" s="10">
        <f>SUM(D41:AB41)</f>
        <v>28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20</v>
      </c>
      <c r="S41" s="8">
        <v>0</v>
      </c>
      <c r="T41" s="8">
        <v>0</v>
      </c>
      <c r="U41" s="8">
        <v>4</v>
      </c>
      <c r="V41" s="8">
        <v>0</v>
      </c>
      <c r="W41" s="8">
        <v>4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</row>
    <row r="42" spans="1:28" x14ac:dyDescent="0.25">
      <c r="A42" s="151" t="s">
        <v>68</v>
      </c>
      <c r="B42" s="151" t="s">
        <v>72</v>
      </c>
      <c r="C42" s="10">
        <f>SUM(D42:AB42)</f>
        <v>38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38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</row>
    <row r="43" spans="1:28" x14ac:dyDescent="0.25">
      <c r="A43" s="151" t="s">
        <v>68</v>
      </c>
      <c r="B43" s="151" t="s">
        <v>73</v>
      </c>
      <c r="C43" s="10">
        <f>SUM(D43:AB43)</f>
        <v>70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7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63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</row>
    <row r="44" spans="1:28" x14ac:dyDescent="0.25">
      <c r="A44" s="151" t="s">
        <v>74</v>
      </c>
      <c r="B44" s="151" t="s">
        <v>75</v>
      </c>
      <c r="C44" s="10">
        <f t="shared" ref="C44:C61" si="3">SUM(D44:AB44)</f>
        <v>118</v>
      </c>
      <c r="D44">
        <v>0</v>
      </c>
      <c r="E44">
        <v>0</v>
      </c>
      <c r="F44">
        <v>0</v>
      </c>
      <c r="G44">
        <v>118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</row>
    <row r="45" spans="1:28" x14ac:dyDescent="0.25">
      <c r="A45" s="151" t="s">
        <v>76</v>
      </c>
      <c r="B45" s="151" t="s">
        <v>77</v>
      </c>
      <c r="C45" s="10">
        <f t="shared" si="3"/>
        <v>55</v>
      </c>
      <c r="D45">
        <v>0</v>
      </c>
      <c r="E45" s="8">
        <v>8</v>
      </c>
      <c r="F45" s="8">
        <v>0</v>
      </c>
      <c r="G45" s="8">
        <v>47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</row>
    <row r="46" spans="1:28" x14ac:dyDescent="0.25">
      <c r="A46" s="151" t="s">
        <v>76</v>
      </c>
      <c r="B46" s="151" t="s">
        <v>78</v>
      </c>
      <c r="C46" s="10">
        <f t="shared" si="3"/>
        <v>42</v>
      </c>
      <c r="D46">
        <v>0</v>
      </c>
      <c r="E46" s="8">
        <v>5</v>
      </c>
      <c r="F46" s="8">
        <v>0</v>
      </c>
      <c r="G46" s="8">
        <v>37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</row>
    <row r="47" spans="1:28" x14ac:dyDescent="0.25">
      <c r="A47" s="151" t="s">
        <v>76</v>
      </c>
      <c r="B47" s="151" t="s">
        <v>79</v>
      </c>
      <c r="C47" s="10">
        <f t="shared" si="3"/>
        <v>40</v>
      </c>
      <c r="D47">
        <v>0</v>
      </c>
      <c r="E47" s="8">
        <v>4</v>
      </c>
      <c r="F47" s="8">
        <v>0</v>
      </c>
      <c r="G47" s="8">
        <v>36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</row>
    <row r="48" spans="1:28" x14ac:dyDescent="0.25">
      <c r="A48" s="151" t="s">
        <v>80</v>
      </c>
      <c r="B48" s="151" t="s">
        <v>81</v>
      </c>
      <c r="C48" s="10">
        <f t="shared" si="3"/>
        <v>199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28</v>
      </c>
      <c r="R48">
        <v>0</v>
      </c>
      <c r="S48">
        <v>0</v>
      </c>
      <c r="T48">
        <v>0</v>
      </c>
      <c r="U48">
        <v>0</v>
      </c>
      <c r="V48">
        <v>48</v>
      </c>
      <c r="W48">
        <v>0</v>
      </c>
      <c r="X48">
        <v>123</v>
      </c>
      <c r="Y48">
        <v>0</v>
      </c>
      <c r="Z48">
        <v>0</v>
      </c>
      <c r="AA48">
        <v>0</v>
      </c>
      <c r="AB48">
        <v>0</v>
      </c>
    </row>
    <row r="49" spans="1:28" x14ac:dyDescent="0.25">
      <c r="A49" s="151" t="s">
        <v>80</v>
      </c>
      <c r="B49" s="151" t="s">
        <v>82</v>
      </c>
      <c r="C49" s="10">
        <f t="shared" si="3"/>
        <v>51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51</v>
      </c>
      <c r="Y49">
        <v>0</v>
      </c>
      <c r="Z49">
        <v>0</v>
      </c>
      <c r="AA49">
        <v>0</v>
      </c>
      <c r="AB49">
        <v>0</v>
      </c>
    </row>
    <row r="50" spans="1:28" x14ac:dyDescent="0.25">
      <c r="A50" s="151" t="s">
        <v>83</v>
      </c>
      <c r="B50" s="151" t="s">
        <v>84</v>
      </c>
      <c r="C50" s="10">
        <f t="shared" si="3"/>
        <v>126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115</v>
      </c>
      <c r="S50">
        <v>11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</row>
    <row r="51" spans="1:28" x14ac:dyDescent="0.25">
      <c r="A51" s="151" t="s">
        <v>83</v>
      </c>
      <c r="B51" s="151" t="s">
        <v>85</v>
      </c>
      <c r="C51" s="10">
        <f t="shared" si="3"/>
        <v>68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68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</row>
    <row r="52" spans="1:28" x14ac:dyDescent="0.25">
      <c r="A52" s="151" t="s">
        <v>83</v>
      </c>
      <c r="B52" s="151" t="s">
        <v>86</v>
      </c>
      <c r="C52" s="10">
        <f t="shared" si="3"/>
        <v>126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10</v>
      </c>
      <c r="L52">
        <v>0</v>
      </c>
      <c r="M52">
        <v>0</v>
      </c>
      <c r="N52">
        <v>10</v>
      </c>
      <c r="O52">
        <v>58</v>
      </c>
      <c r="P52">
        <v>0</v>
      </c>
      <c r="Q52">
        <v>0</v>
      </c>
      <c r="R52">
        <v>0</v>
      </c>
      <c r="S52">
        <v>0</v>
      </c>
      <c r="T52">
        <v>17</v>
      </c>
      <c r="U52">
        <v>24</v>
      </c>
      <c r="V52">
        <v>0</v>
      </c>
      <c r="W52">
        <v>0</v>
      </c>
      <c r="X52">
        <v>0</v>
      </c>
      <c r="Y52">
        <v>0</v>
      </c>
      <c r="Z52">
        <v>7</v>
      </c>
      <c r="AA52">
        <v>0</v>
      </c>
      <c r="AB52">
        <v>0</v>
      </c>
    </row>
    <row r="53" spans="1:28" x14ac:dyDescent="0.25">
      <c r="A53" s="151" t="s">
        <v>83</v>
      </c>
      <c r="B53" s="151" t="s">
        <v>87</v>
      </c>
      <c r="C53" s="10">
        <f t="shared" si="3"/>
        <v>78</v>
      </c>
      <c r="D53">
        <v>0</v>
      </c>
      <c r="E53">
        <v>0</v>
      </c>
      <c r="F53">
        <v>0</v>
      </c>
      <c r="G53">
        <v>0</v>
      </c>
      <c r="H53">
        <v>72</v>
      </c>
      <c r="I53">
        <v>0</v>
      </c>
      <c r="J53">
        <v>0</v>
      </c>
      <c r="K53">
        <v>0</v>
      </c>
      <c r="L53">
        <v>0</v>
      </c>
      <c r="M53">
        <v>0</v>
      </c>
      <c r="N53">
        <v>6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</row>
    <row r="54" spans="1:28" x14ac:dyDescent="0.25">
      <c r="A54" s="151" t="s">
        <v>83</v>
      </c>
      <c r="B54" s="151" t="s">
        <v>88</v>
      </c>
      <c r="C54" s="10">
        <f t="shared" si="3"/>
        <v>59</v>
      </c>
      <c r="D54">
        <v>0</v>
      </c>
      <c r="E54">
        <v>0</v>
      </c>
      <c r="F54">
        <v>0</v>
      </c>
      <c r="G54">
        <v>0</v>
      </c>
      <c r="H54">
        <v>33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26</v>
      </c>
      <c r="AA54">
        <v>0</v>
      </c>
      <c r="AB54">
        <v>0</v>
      </c>
    </row>
    <row r="55" spans="1:28" x14ac:dyDescent="0.25">
      <c r="A55" s="151" t="s">
        <v>83</v>
      </c>
      <c r="B55" s="151" t="s">
        <v>89</v>
      </c>
      <c r="C55" s="10">
        <f t="shared" si="3"/>
        <v>64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64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</row>
    <row r="56" spans="1:28" x14ac:dyDescent="0.25">
      <c r="A56" s="151" t="s">
        <v>83</v>
      </c>
      <c r="B56" s="151" t="s">
        <v>90</v>
      </c>
      <c r="C56" s="10">
        <f t="shared" si="3"/>
        <v>59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8</v>
      </c>
      <c r="O56">
        <v>21</v>
      </c>
      <c r="P56">
        <v>11</v>
      </c>
      <c r="Q56">
        <v>0</v>
      </c>
      <c r="R56">
        <v>0</v>
      </c>
      <c r="S56">
        <v>0</v>
      </c>
      <c r="T56">
        <v>0</v>
      </c>
      <c r="U56">
        <v>19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</row>
    <row r="57" spans="1:28" x14ac:dyDescent="0.25">
      <c r="A57" s="151" t="s">
        <v>83</v>
      </c>
      <c r="B57" s="151" t="s">
        <v>49</v>
      </c>
      <c r="C57" s="10">
        <f t="shared" si="3"/>
        <v>133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68</v>
      </c>
      <c r="T57">
        <v>65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</row>
    <row r="58" spans="1:28" x14ac:dyDescent="0.25">
      <c r="A58" s="151" t="s">
        <v>83</v>
      </c>
      <c r="B58" s="151" t="s">
        <v>91</v>
      </c>
      <c r="C58" s="10">
        <f t="shared" si="3"/>
        <v>44</v>
      </c>
      <c r="D58">
        <v>0</v>
      </c>
      <c r="E58">
        <v>0</v>
      </c>
      <c r="F58">
        <v>0</v>
      </c>
      <c r="G58">
        <v>44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</row>
    <row r="59" spans="1:28" x14ac:dyDescent="0.25">
      <c r="A59" s="151" t="s">
        <v>92</v>
      </c>
      <c r="B59" s="151" t="s">
        <v>93</v>
      </c>
      <c r="C59" s="10">
        <f t="shared" si="3"/>
        <v>92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22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62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8</v>
      </c>
    </row>
    <row r="60" spans="1:28" x14ac:dyDescent="0.25">
      <c r="A60" s="151" t="s">
        <v>92</v>
      </c>
      <c r="B60" s="151" t="s">
        <v>84</v>
      </c>
      <c r="C60" s="10">
        <f t="shared" si="3"/>
        <v>124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124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</row>
    <row r="61" spans="1:28" x14ac:dyDescent="0.25">
      <c r="A61" s="151" t="s">
        <v>92</v>
      </c>
      <c r="B61" s="151" t="s">
        <v>94</v>
      </c>
      <c r="C61" s="10">
        <f t="shared" si="3"/>
        <v>44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44</v>
      </c>
      <c r="AB61" s="11">
        <v>0</v>
      </c>
    </row>
    <row r="62" spans="1:28" x14ac:dyDescent="0.25">
      <c r="A62" s="151" t="s">
        <v>92</v>
      </c>
      <c r="B62" s="151" t="s">
        <v>95</v>
      </c>
      <c r="C62" s="10">
        <f t="shared" ref="C62:C67" si="4">SUM(D62:AB62)</f>
        <v>34</v>
      </c>
      <c r="D62" s="11">
        <v>9</v>
      </c>
      <c r="E62" s="11">
        <v>12</v>
      </c>
      <c r="F62" s="11">
        <v>3</v>
      </c>
      <c r="G62" s="11">
        <v>1</v>
      </c>
      <c r="H62" s="11">
        <v>0</v>
      </c>
      <c r="I62" s="11">
        <v>5</v>
      </c>
      <c r="J62" s="11">
        <v>0</v>
      </c>
      <c r="K62" s="11">
        <v>2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1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1</v>
      </c>
    </row>
    <row r="63" spans="1:28" x14ac:dyDescent="0.25">
      <c r="A63" s="151" t="s">
        <v>92</v>
      </c>
      <c r="B63" s="151" t="s">
        <v>96</v>
      </c>
      <c r="C63" s="10">
        <f t="shared" si="4"/>
        <v>113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36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77</v>
      </c>
      <c r="AA63" s="11">
        <v>0</v>
      </c>
      <c r="AB63" s="11">
        <v>0</v>
      </c>
    </row>
    <row r="64" spans="1:28" x14ac:dyDescent="0.25">
      <c r="A64" s="151" t="s">
        <v>92</v>
      </c>
      <c r="B64" s="151" t="s">
        <v>87</v>
      </c>
      <c r="C64" s="10">
        <f t="shared" si="4"/>
        <v>66</v>
      </c>
      <c r="D64" s="11">
        <v>0</v>
      </c>
      <c r="E64" s="11">
        <v>0</v>
      </c>
      <c r="F64" s="11">
        <v>0</v>
      </c>
      <c r="G64" s="11">
        <v>0</v>
      </c>
      <c r="H64" s="11">
        <v>41</v>
      </c>
      <c r="I64" s="11">
        <v>0</v>
      </c>
      <c r="J64" s="11">
        <v>0</v>
      </c>
      <c r="K64" s="11">
        <v>0</v>
      </c>
      <c r="L64" s="11">
        <v>0</v>
      </c>
      <c r="M64" s="11">
        <v>7</v>
      </c>
      <c r="N64" s="11">
        <v>5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10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3</v>
      </c>
    </row>
    <row r="65" spans="1:28" x14ac:dyDescent="0.25">
      <c r="A65" s="151" t="s">
        <v>92</v>
      </c>
      <c r="B65" s="151" t="s">
        <v>97</v>
      </c>
      <c r="C65" s="10">
        <f t="shared" si="4"/>
        <v>107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18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51</v>
      </c>
      <c r="T65" s="11">
        <v>38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</row>
    <row r="66" spans="1:28" x14ac:dyDescent="0.25">
      <c r="A66" s="151" t="s">
        <v>92</v>
      </c>
      <c r="B66" s="151" t="s">
        <v>98</v>
      </c>
      <c r="C66" s="10">
        <f t="shared" si="4"/>
        <v>72</v>
      </c>
      <c r="D66" s="11">
        <v>0</v>
      </c>
      <c r="E66" s="11">
        <v>0</v>
      </c>
      <c r="F66" s="11">
        <v>0</v>
      </c>
      <c r="G66" s="11">
        <v>0</v>
      </c>
      <c r="H66" s="11">
        <v>2</v>
      </c>
      <c r="I66" s="11">
        <v>2</v>
      </c>
      <c r="J66" s="11">
        <v>0</v>
      </c>
      <c r="K66" s="11">
        <v>6</v>
      </c>
      <c r="L66" s="11">
        <v>1</v>
      </c>
      <c r="M66" s="11">
        <v>0</v>
      </c>
      <c r="N66" s="11">
        <v>8</v>
      </c>
      <c r="O66" s="11">
        <v>13</v>
      </c>
      <c r="P66" s="11">
        <v>0</v>
      </c>
      <c r="Q66" s="11">
        <v>0</v>
      </c>
      <c r="R66" s="11">
        <v>13</v>
      </c>
      <c r="S66" s="11">
        <v>2</v>
      </c>
      <c r="T66" s="11">
        <v>7</v>
      </c>
      <c r="U66" s="11">
        <v>8</v>
      </c>
      <c r="V66" s="11">
        <v>0</v>
      </c>
      <c r="W66" s="11">
        <v>0</v>
      </c>
      <c r="X66" s="11">
        <v>0</v>
      </c>
      <c r="Y66" s="11">
        <v>0</v>
      </c>
      <c r="Z66" s="11">
        <v>2</v>
      </c>
      <c r="AA66" s="11">
        <v>3</v>
      </c>
      <c r="AB66" s="11">
        <v>5</v>
      </c>
    </row>
    <row r="67" spans="1:28" x14ac:dyDescent="0.25">
      <c r="A67" s="151" t="s">
        <v>99</v>
      </c>
      <c r="B67" s="151" t="s">
        <v>100</v>
      </c>
      <c r="C67" s="10">
        <f t="shared" si="4"/>
        <v>128</v>
      </c>
      <c r="D67">
        <v>3</v>
      </c>
      <c r="E67">
        <v>73</v>
      </c>
      <c r="F67">
        <v>18</v>
      </c>
      <c r="G67">
        <v>0</v>
      </c>
      <c r="H67">
        <v>0</v>
      </c>
      <c r="I67" s="8">
        <v>34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>
        <v>0</v>
      </c>
      <c r="P67" s="8">
        <v>0</v>
      </c>
      <c r="Q67" s="8">
        <v>0</v>
      </c>
      <c r="R67">
        <v>0</v>
      </c>
      <c r="S67">
        <v>0</v>
      </c>
      <c r="T67" s="8">
        <v>0</v>
      </c>
      <c r="U67">
        <v>0</v>
      </c>
      <c r="V67" s="8">
        <v>0</v>
      </c>
      <c r="W67">
        <v>0</v>
      </c>
      <c r="X67">
        <v>0</v>
      </c>
      <c r="Y67" s="8">
        <v>0</v>
      </c>
      <c r="Z67">
        <v>0</v>
      </c>
      <c r="AA67">
        <v>0</v>
      </c>
      <c r="AB67" s="8">
        <v>0</v>
      </c>
    </row>
    <row r="68" spans="1:28" x14ac:dyDescent="0.25">
      <c r="A68" s="151" t="s">
        <v>99</v>
      </c>
      <c r="B68" s="151" t="s">
        <v>101</v>
      </c>
      <c r="C68" s="10">
        <f t="shared" ref="C68:C73" si="5">SUM(D68:AB68)</f>
        <v>53</v>
      </c>
      <c r="D68">
        <v>0</v>
      </c>
      <c r="E68">
        <v>0</v>
      </c>
      <c r="F68">
        <v>0</v>
      </c>
      <c r="G68">
        <v>0</v>
      </c>
      <c r="H68">
        <v>0</v>
      </c>
      <c r="I68" s="8">
        <v>0</v>
      </c>
      <c r="J68" s="8">
        <v>53</v>
      </c>
      <c r="K68" s="8">
        <v>0</v>
      </c>
      <c r="L68" s="8">
        <v>0</v>
      </c>
      <c r="M68" s="8">
        <v>0</v>
      </c>
      <c r="N68" s="8">
        <v>0</v>
      </c>
      <c r="O68">
        <v>0</v>
      </c>
      <c r="P68" s="8">
        <v>0</v>
      </c>
      <c r="Q68" s="8">
        <v>0</v>
      </c>
      <c r="R68">
        <v>0</v>
      </c>
      <c r="S68">
        <v>0</v>
      </c>
      <c r="T68" s="8">
        <v>0</v>
      </c>
      <c r="U68">
        <v>0</v>
      </c>
      <c r="V68" s="8">
        <v>0</v>
      </c>
      <c r="W68">
        <v>0</v>
      </c>
      <c r="X68">
        <v>0</v>
      </c>
      <c r="Y68" s="8">
        <v>0</v>
      </c>
      <c r="Z68">
        <v>0</v>
      </c>
      <c r="AA68">
        <v>0</v>
      </c>
      <c r="AB68" s="8">
        <v>0</v>
      </c>
    </row>
    <row r="69" spans="1:28" x14ac:dyDescent="0.25">
      <c r="A69" s="151" t="s">
        <v>99</v>
      </c>
      <c r="B69" s="151" t="s">
        <v>102</v>
      </c>
      <c r="C69" s="10">
        <f t="shared" si="5"/>
        <v>293</v>
      </c>
      <c r="D69">
        <v>0</v>
      </c>
      <c r="E69">
        <v>0</v>
      </c>
      <c r="F69">
        <v>0</v>
      </c>
      <c r="G69">
        <v>0</v>
      </c>
      <c r="H69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>
        <v>0</v>
      </c>
      <c r="P69" s="8">
        <v>0</v>
      </c>
      <c r="Q69" s="8">
        <v>0</v>
      </c>
      <c r="R69">
        <v>0</v>
      </c>
      <c r="S69">
        <v>0</v>
      </c>
      <c r="T69" s="8">
        <v>0</v>
      </c>
      <c r="U69">
        <v>0</v>
      </c>
      <c r="V69" s="8">
        <v>293</v>
      </c>
      <c r="W69">
        <v>0</v>
      </c>
      <c r="X69">
        <v>0</v>
      </c>
      <c r="Y69" s="8">
        <v>0</v>
      </c>
      <c r="Z69">
        <v>0</v>
      </c>
      <c r="AA69">
        <v>0</v>
      </c>
      <c r="AB69" s="8">
        <v>0</v>
      </c>
    </row>
    <row r="70" spans="1:28" x14ac:dyDescent="0.25">
      <c r="A70" s="151" t="s">
        <v>99</v>
      </c>
      <c r="B70" s="151" t="s">
        <v>103</v>
      </c>
      <c r="C70" s="10">
        <f t="shared" si="5"/>
        <v>170</v>
      </c>
      <c r="D70">
        <v>0</v>
      </c>
      <c r="E70">
        <v>0</v>
      </c>
      <c r="F70">
        <v>0</v>
      </c>
      <c r="G70">
        <v>0</v>
      </c>
      <c r="H70">
        <v>0</v>
      </c>
      <c r="I70" s="8">
        <v>0</v>
      </c>
      <c r="J70" s="8">
        <v>0</v>
      </c>
      <c r="K70" s="8">
        <v>0</v>
      </c>
      <c r="L70" s="8">
        <v>36</v>
      </c>
      <c r="M70" s="8">
        <v>12</v>
      </c>
      <c r="N70" s="8">
        <v>8</v>
      </c>
      <c r="O70">
        <v>0</v>
      </c>
      <c r="P70" s="8">
        <v>38</v>
      </c>
      <c r="Q70" s="8">
        <v>37</v>
      </c>
      <c r="R70">
        <v>0</v>
      </c>
      <c r="S70">
        <v>0</v>
      </c>
      <c r="T70" s="8">
        <v>16</v>
      </c>
      <c r="U70">
        <v>0</v>
      </c>
      <c r="V70" s="8">
        <v>0</v>
      </c>
      <c r="W70">
        <v>0</v>
      </c>
      <c r="X70">
        <v>0</v>
      </c>
      <c r="Y70" s="8">
        <v>0</v>
      </c>
      <c r="Z70">
        <v>0</v>
      </c>
      <c r="AA70">
        <v>0</v>
      </c>
      <c r="AB70" s="8">
        <v>23</v>
      </c>
    </row>
    <row r="71" spans="1:28" x14ac:dyDescent="0.25">
      <c r="A71" s="151" t="s">
        <v>99</v>
      </c>
      <c r="B71" s="151" t="s">
        <v>104</v>
      </c>
      <c r="C71" s="10">
        <f t="shared" si="5"/>
        <v>30</v>
      </c>
      <c r="D71">
        <v>0</v>
      </c>
      <c r="E71">
        <v>0</v>
      </c>
      <c r="F71">
        <v>0</v>
      </c>
      <c r="G71">
        <v>0</v>
      </c>
      <c r="H71">
        <v>0</v>
      </c>
      <c r="I71" s="8">
        <v>12</v>
      </c>
      <c r="J71" s="8">
        <v>11</v>
      </c>
      <c r="K71" s="8">
        <v>7</v>
      </c>
      <c r="L71" s="8">
        <v>0</v>
      </c>
      <c r="M71" s="8">
        <v>0</v>
      </c>
      <c r="N71" s="8">
        <v>0</v>
      </c>
      <c r="O71">
        <v>0</v>
      </c>
      <c r="P71" s="8">
        <v>0</v>
      </c>
      <c r="Q71" s="8">
        <v>0</v>
      </c>
      <c r="R71">
        <v>0</v>
      </c>
      <c r="S71">
        <v>0</v>
      </c>
      <c r="T71" s="8">
        <v>0</v>
      </c>
      <c r="U71">
        <v>0</v>
      </c>
      <c r="V71" s="8">
        <v>0</v>
      </c>
      <c r="W71">
        <v>0</v>
      </c>
      <c r="X71">
        <v>0</v>
      </c>
      <c r="Y71" s="8">
        <v>0</v>
      </c>
      <c r="Z71">
        <v>0</v>
      </c>
      <c r="AA71">
        <v>0</v>
      </c>
      <c r="AB71" s="8">
        <v>0</v>
      </c>
    </row>
    <row r="72" spans="1:28" x14ac:dyDescent="0.25">
      <c r="A72" s="151" t="s">
        <v>99</v>
      </c>
      <c r="B72" s="151" t="s">
        <v>105</v>
      </c>
      <c r="C72" s="10">
        <f t="shared" si="5"/>
        <v>25</v>
      </c>
      <c r="D72">
        <v>0</v>
      </c>
      <c r="E72">
        <v>0</v>
      </c>
      <c r="F72">
        <v>0</v>
      </c>
      <c r="G72">
        <v>0</v>
      </c>
      <c r="H72">
        <v>0</v>
      </c>
      <c r="I72" s="8">
        <v>0</v>
      </c>
      <c r="J72" s="8">
        <v>0</v>
      </c>
      <c r="K72" s="8">
        <v>0</v>
      </c>
      <c r="L72" s="8">
        <v>5</v>
      </c>
      <c r="M72" s="8">
        <v>1</v>
      </c>
      <c r="N72" s="8">
        <v>0</v>
      </c>
      <c r="O72">
        <v>0</v>
      </c>
      <c r="P72" s="8">
        <v>2</v>
      </c>
      <c r="Q72" s="8">
        <v>4</v>
      </c>
      <c r="R72">
        <v>0</v>
      </c>
      <c r="S72">
        <v>0</v>
      </c>
      <c r="T72" s="8">
        <v>0</v>
      </c>
      <c r="U72">
        <v>0</v>
      </c>
      <c r="V72" s="8">
        <v>0</v>
      </c>
      <c r="W72">
        <v>0</v>
      </c>
      <c r="X72">
        <v>0</v>
      </c>
      <c r="Y72" s="8">
        <v>12</v>
      </c>
      <c r="Z72">
        <v>0</v>
      </c>
      <c r="AA72">
        <v>0</v>
      </c>
      <c r="AB72" s="8">
        <v>1</v>
      </c>
    </row>
    <row r="73" spans="1:28" x14ac:dyDescent="0.25">
      <c r="A73" s="151" t="s">
        <v>106</v>
      </c>
      <c r="B73" s="151" t="s">
        <v>100</v>
      </c>
      <c r="C73" s="10">
        <f t="shared" si="5"/>
        <v>61</v>
      </c>
      <c r="D73" s="8">
        <v>0</v>
      </c>
      <c r="E73" s="8">
        <v>37</v>
      </c>
      <c r="F73" s="8">
        <v>0</v>
      </c>
      <c r="G73">
        <v>0</v>
      </c>
      <c r="H73">
        <v>0</v>
      </c>
      <c r="I73" s="8">
        <v>24</v>
      </c>
      <c r="J73" s="8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 s="8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</row>
    <row r="74" spans="1:28" x14ac:dyDescent="0.25">
      <c r="A74" s="151" t="s">
        <v>106</v>
      </c>
      <c r="B74" s="151" t="s">
        <v>101</v>
      </c>
      <c r="C74" s="10">
        <f t="shared" ref="C74:C79" si="6">SUM(D74:AB74)</f>
        <v>44</v>
      </c>
      <c r="D74" s="8">
        <v>0</v>
      </c>
      <c r="E74" s="8">
        <v>0</v>
      </c>
      <c r="F74" s="8">
        <v>0</v>
      </c>
      <c r="G74">
        <v>0</v>
      </c>
      <c r="H74">
        <v>0</v>
      </c>
      <c r="I74" s="8">
        <v>0</v>
      </c>
      <c r="J74" s="8">
        <v>44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8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</row>
    <row r="75" spans="1:28" x14ac:dyDescent="0.25">
      <c r="A75" s="151" t="s">
        <v>106</v>
      </c>
      <c r="B75" s="151" t="s">
        <v>107</v>
      </c>
      <c r="C75" s="10">
        <f t="shared" si="6"/>
        <v>82</v>
      </c>
      <c r="D75" s="8">
        <v>82</v>
      </c>
      <c r="E75" s="8">
        <v>0</v>
      </c>
      <c r="F75" s="8">
        <v>0</v>
      </c>
      <c r="G75">
        <v>0</v>
      </c>
      <c r="H75">
        <v>0</v>
      </c>
      <c r="I75" s="8">
        <v>0</v>
      </c>
      <c r="J75" s="8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8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</row>
    <row r="76" spans="1:28" x14ac:dyDescent="0.25">
      <c r="A76" s="151" t="s">
        <v>106</v>
      </c>
      <c r="B76" s="151" t="s">
        <v>108</v>
      </c>
      <c r="C76" s="10">
        <f t="shared" si="6"/>
        <v>29</v>
      </c>
      <c r="D76" s="8">
        <v>0</v>
      </c>
      <c r="E76" s="8">
        <v>29</v>
      </c>
      <c r="F76" s="8">
        <v>0</v>
      </c>
      <c r="G76">
        <v>0</v>
      </c>
      <c r="H76">
        <v>0</v>
      </c>
      <c r="I76" s="8">
        <v>0</v>
      </c>
      <c r="J76" s="8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s="8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</row>
    <row r="77" spans="1:28" x14ac:dyDescent="0.25">
      <c r="A77" s="151" t="s">
        <v>106</v>
      </c>
      <c r="B77" s="151" t="s">
        <v>109</v>
      </c>
      <c r="C77" s="10">
        <f t="shared" si="6"/>
        <v>51</v>
      </c>
      <c r="D77" s="8">
        <v>0</v>
      </c>
      <c r="E77" s="8">
        <v>0</v>
      </c>
      <c r="F77" s="8">
        <v>0</v>
      </c>
      <c r="G77">
        <v>0</v>
      </c>
      <c r="H77">
        <v>0</v>
      </c>
      <c r="I77" s="8">
        <v>13</v>
      </c>
      <c r="J77" s="8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8">
        <v>38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</row>
    <row r="78" spans="1:28" x14ac:dyDescent="0.25">
      <c r="A78" s="151" t="s">
        <v>106</v>
      </c>
      <c r="B78" s="151" t="s">
        <v>110</v>
      </c>
      <c r="C78" s="10">
        <f t="shared" si="6"/>
        <v>2</v>
      </c>
      <c r="D78" s="8">
        <v>0</v>
      </c>
      <c r="E78" s="8">
        <v>0</v>
      </c>
      <c r="F78" s="8">
        <v>2</v>
      </c>
      <c r="G78">
        <v>0</v>
      </c>
      <c r="H78">
        <v>0</v>
      </c>
      <c r="I78" s="8">
        <v>0</v>
      </c>
      <c r="J78" s="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 s="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</row>
    <row r="79" spans="1:28" x14ac:dyDescent="0.25">
      <c r="A79" s="151" t="s">
        <v>111</v>
      </c>
      <c r="B79" s="151" t="s">
        <v>100</v>
      </c>
      <c r="C79" s="10">
        <f t="shared" si="6"/>
        <v>127</v>
      </c>
      <c r="D79" s="8">
        <v>0</v>
      </c>
      <c r="E79" s="8">
        <v>79</v>
      </c>
      <c r="F79" s="8">
        <v>19</v>
      </c>
      <c r="G79" s="8">
        <v>0</v>
      </c>
      <c r="H79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 s="8">
        <v>29</v>
      </c>
      <c r="Z79">
        <v>0</v>
      </c>
      <c r="AA79">
        <v>0</v>
      </c>
      <c r="AB79" s="8">
        <v>0</v>
      </c>
    </row>
    <row r="80" spans="1:28" x14ac:dyDescent="0.25">
      <c r="A80" s="151" t="s">
        <v>111</v>
      </c>
      <c r="B80" s="151" t="s">
        <v>101</v>
      </c>
      <c r="C80" s="10">
        <f t="shared" ref="C80:C92" si="7">SUM(D80:AB80)</f>
        <v>45</v>
      </c>
      <c r="D80" s="8">
        <v>0</v>
      </c>
      <c r="E80" s="8">
        <v>0</v>
      </c>
      <c r="F80" s="8">
        <v>0</v>
      </c>
      <c r="G80" s="8">
        <v>0</v>
      </c>
      <c r="H80">
        <v>0</v>
      </c>
      <c r="I80" s="8">
        <v>0</v>
      </c>
      <c r="J80" s="8">
        <v>45</v>
      </c>
      <c r="K80" s="8">
        <v>0</v>
      </c>
      <c r="L80" s="8">
        <v>0</v>
      </c>
      <c r="M80" s="8">
        <v>0</v>
      </c>
      <c r="N80" s="8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 s="8">
        <v>0</v>
      </c>
      <c r="Z80">
        <v>0</v>
      </c>
      <c r="AA80">
        <v>0</v>
      </c>
      <c r="AB80" s="8">
        <v>0</v>
      </c>
    </row>
    <row r="81" spans="1:28" x14ac:dyDescent="0.25">
      <c r="A81" s="151" t="s">
        <v>111</v>
      </c>
      <c r="B81" s="151" t="s">
        <v>107</v>
      </c>
      <c r="C81" s="10">
        <f t="shared" si="7"/>
        <v>88</v>
      </c>
      <c r="D81" s="8">
        <v>44</v>
      </c>
      <c r="E81" s="8">
        <v>7</v>
      </c>
      <c r="F81" s="8">
        <v>0</v>
      </c>
      <c r="G81" s="8">
        <v>15</v>
      </c>
      <c r="H81">
        <v>0</v>
      </c>
      <c r="I81" s="8">
        <v>22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 s="8">
        <v>0</v>
      </c>
      <c r="Z81">
        <v>0</v>
      </c>
      <c r="AA81">
        <v>0</v>
      </c>
      <c r="AB81" s="8">
        <v>0</v>
      </c>
    </row>
    <row r="82" spans="1:28" x14ac:dyDescent="0.25">
      <c r="A82" s="151" t="s">
        <v>111</v>
      </c>
      <c r="B82" s="151" t="s">
        <v>112</v>
      </c>
      <c r="C82" s="10">
        <f t="shared" si="7"/>
        <v>38</v>
      </c>
      <c r="D82" s="8">
        <v>0</v>
      </c>
      <c r="E82" s="8">
        <v>0</v>
      </c>
      <c r="F82" s="8">
        <v>0</v>
      </c>
      <c r="G82" s="8">
        <v>0</v>
      </c>
      <c r="H82">
        <v>0</v>
      </c>
      <c r="I82" s="8">
        <v>11</v>
      </c>
      <c r="J82" s="8">
        <v>27</v>
      </c>
      <c r="K82" s="8">
        <v>0</v>
      </c>
      <c r="L82" s="8">
        <v>0</v>
      </c>
      <c r="M82" s="8">
        <v>0</v>
      </c>
      <c r="N82" s="8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 s="8">
        <v>0</v>
      </c>
      <c r="Z82">
        <v>0</v>
      </c>
      <c r="AA82">
        <v>0</v>
      </c>
      <c r="AB82" s="8">
        <v>0</v>
      </c>
    </row>
    <row r="83" spans="1:28" x14ac:dyDescent="0.25">
      <c r="A83" s="151" t="s">
        <v>111</v>
      </c>
      <c r="B83" s="151" t="s">
        <v>113</v>
      </c>
      <c r="C83" s="149">
        <f t="shared" si="7"/>
        <v>88</v>
      </c>
      <c r="D83" s="110">
        <v>20</v>
      </c>
      <c r="E83" s="110">
        <v>0</v>
      </c>
      <c r="F83" s="110">
        <v>0</v>
      </c>
      <c r="G83" s="110">
        <v>0</v>
      </c>
      <c r="H83">
        <v>0</v>
      </c>
      <c r="I83" s="11">
        <v>0</v>
      </c>
      <c r="J83" s="11">
        <v>0</v>
      </c>
      <c r="K83" s="11">
        <v>0</v>
      </c>
      <c r="L83" s="11">
        <v>2</v>
      </c>
      <c r="M83" s="11">
        <v>16</v>
      </c>
      <c r="N83" s="11">
        <v>21</v>
      </c>
      <c r="O83">
        <v>0</v>
      </c>
      <c r="P83">
        <v>9</v>
      </c>
      <c r="Q83">
        <v>0</v>
      </c>
      <c r="R83">
        <v>0</v>
      </c>
      <c r="S83">
        <v>0</v>
      </c>
      <c r="T83">
        <v>11</v>
      </c>
      <c r="U83">
        <v>0</v>
      </c>
      <c r="V83">
        <v>0</v>
      </c>
      <c r="W83">
        <v>0</v>
      </c>
      <c r="X83">
        <v>0</v>
      </c>
      <c r="Y83" s="11">
        <v>0</v>
      </c>
      <c r="Z83">
        <v>0</v>
      </c>
      <c r="AA83">
        <v>0</v>
      </c>
      <c r="AB83" s="11">
        <v>9</v>
      </c>
    </row>
    <row r="84" spans="1:28" x14ac:dyDescent="0.25">
      <c r="A84" s="151" t="s">
        <v>111</v>
      </c>
      <c r="B84" s="151" t="s">
        <v>89</v>
      </c>
      <c r="C84" s="149">
        <f t="shared" si="7"/>
        <v>110</v>
      </c>
      <c r="D84" s="15">
        <v>0</v>
      </c>
      <c r="E84" s="15">
        <v>0</v>
      </c>
      <c r="F84" s="15">
        <v>0</v>
      </c>
      <c r="G84" s="15">
        <v>0</v>
      </c>
      <c r="H84">
        <v>0</v>
      </c>
      <c r="I84" s="8">
        <v>0</v>
      </c>
      <c r="J84" s="8">
        <v>0</v>
      </c>
      <c r="K84" s="8">
        <v>110</v>
      </c>
      <c r="L84" s="8">
        <v>0</v>
      </c>
      <c r="M84" s="8">
        <v>0</v>
      </c>
      <c r="N84" s="8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 s="8">
        <v>0</v>
      </c>
      <c r="Z84">
        <v>0</v>
      </c>
      <c r="AA84">
        <v>0</v>
      </c>
      <c r="AB84" s="8">
        <v>0</v>
      </c>
    </row>
    <row r="85" spans="1:28" x14ac:dyDescent="0.25">
      <c r="A85" s="151" t="s">
        <v>114</v>
      </c>
      <c r="B85" s="151" t="s">
        <v>115</v>
      </c>
      <c r="C85" s="149">
        <f t="shared" si="7"/>
        <v>46</v>
      </c>
      <c r="D85" s="15">
        <v>0</v>
      </c>
      <c r="E85" s="15">
        <v>0</v>
      </c>
      <c r="F85" s="15">
        <v>0</v>
      </c>
      <c r="G85" s="71">
        <v>0</v>
      </c>
      <c r="H85">
        <v>0</v>
      </c>
      <c r="I85" s="12">
        <v>28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 s="12">
        <v>0</v>
      </c>
      <c r="U85">
        <v>0</v>
      </c>
      <c r="V85">
        <v>18</v>
      </c>
      <c r="W85">
        <v>0</v>
      </c>
      <c r="X85">
        <v>0</v>
      </c>
      <c r="Y85" s="12">
        <v>0</v>
      </c>
      <c r="Z85">
        <v>0</v>
      </c>
      <c r="AA85" s="12">
        <v>0</v>
      </c>
      <c r="AB85" s="12">
        <v>0</v>
      </c>
    </row>
    <row r="86" spans="1:28" x14ac:dyDescent="0.25">
      <c r="A86" s="151" t="s">
        <v>114</v>
      </c>
      <c r="B86" s="151" t="s">
        <v>116</v>
      </c>
      <c r="C86" s="149">
        <f t="shared" si="7"/>
        <v>91</v>
      </c>
      <c r="D86" s="15">
        <v>59</v>
      </c>
      <c r="E86" s="15">
        <v>5</v>
      </c>
      <c r="F86" s="15">
        <v>0</v>
      </c>
      <c r="G86" s="71">
        <v>8</v>
      </c>
      <c r="H86">
        <v>0</v>
      </c>
      <c r="I86" s="12">
        <v>7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12">
        <v>0</v>
      </c>
      <c r="U86">
        <v>0</v>
      </c>
      <c r="V86">
        <v>0</v>
      </c>
      <c r="W86">
        <v>0</v>
      </c>
      <c r="X86">
        <v>0</v>
      </c>
      <c r="Y86" s="12">
        <v>11</v>
      </c>
      <c r="Z86">
        <v>0</v>
      </c>
      <c r="AA86" s="12">
        <v>1</v>
      </c>
      <c r="AB86" s="12">
        <v>0</v>
      </c>
    </row>
    <row r="87" spans="1:28" x14ac:dyDescent="0.25">
      <c r="A87" s="151" t="s">
        <v>114</v>
      </c>
      <c r="B87" s="151" t="s">
        <v>100</v>
      </c>
      <c r="C87" s="149">
        <f t="shared" si="7"/>
        <v>220</v>
      </c>
      <c r="D87" s="20">
        <v>0</v>
      </c>
      <c r="E87" s="20">
        <v>153</v>
      </c>
      <c r="F87" s="20">
        <v>34</v>
      </c>
      <c r="G87" s="71">
        <v>19</v>
      </c>
      <c r="H87">
        <v>0</v>
      </c>
      <c r="I87" s="13">
        <v>14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 s="13">
        <v>0</v>
      </c>
      <c r="U87">
        <v>0</v>
      </c>
      <c r="V87">
        <v>0</v>
      </c>
      <c r="W87">
        <v>0</v>
      </c>
      <c r="X87">
        <v>0</v>
      </c>
      <c r="Y87" s="13">
        <v>0</v>
      </c>
      <c r="Z87">
        <v>0</v>
      </c>
      <c r="AA87" s="13">
        <v>0</v>
      </c>
      <c r="AB87" s="13">
        <v>0</v>
      </c>
    </row>
    <row r="88" spans="1:28" x14ac:dyDescent="0.25">
      <c r="A88" s="151" t="s">
        <v>114</v>
      </c>
      <c r="B88" s="151" t="s">
        <v>113</v>
      </c>
      <c r="C88" s="149">
        <f t="shared" si="7"/>
        <v>112</v>
      </c>
      <c r="D88" s="15">
        <v>15</v>
      </c>
      <c r="E88" s="15">
        <v>0</v>
      </c>
      <c r="F88" s="15">
        <v>0</v>
      </c>
      <c r="G88" s="71">
        <v>0</v>
      </c>
      <c r="H88">
        <v>0</v>
      </c>
      <c r="I88" s="12">
        <v>0</v>
      </c>
      <c r="J88">
        <v>0</v>
      </c>
      <c r="K88">
        <v>0</v>
      </c>
      <c r="L88">
        <v>7</v>
      </c>
      <c r="M88">
        <v>17</v>
      </c>
      <c r="N88">
        <v>16</v>
      </c>
      <c r="O88">
        <v>0</v>
      </c>
      <c r="P88">
        <v>0</v>
      </c>
      <c r="Q88">
        <v>24</v>
      </c>
      <c r="R88">
        <v>0</v>
      </c>
      <c r="S88">
        <v>0</v>
      </c>
      <c r="T88" s="12">
        <v>17</v>
      </c>
      <c r="U88">
        <v>0</v>
      </c>
      <c r="V88">
        <v>0</v>
      </c>
      <c r="W88">
        <v>0</v>
      </c>
      <c r="X88">
        <v>0</v>
      </c>
      <c r="Y88" s="12">
        <v>0</v>
      </c>
      <c r="Z88">
        <v>0</v>
      </c>
      <c r="AA88" s="12">
        <v>0</v>
      </c>
      <c r="AB88" s="12">
        <v>16</v>
      </c>
    </row>
    <row r="89" spans="1:28" x14ac:dyDescent="0.25">
      <c r="A89" s="151" t="s">
        <v>114</v>
      </c>
      <c r="B89" s="151" t="s">
        <v>117</v>
      </c>
      <c r="C89" s="149">
        <f t="shared" si="7"/>
        <v>46</v>
      </c>
      <c r="D89" s="15">
        <v>18</v>
      </c>
      <c r="E89" s="15">
        <v>11</v>
      </c>
      <c r="F89" s="15">
        <v>0</v>
      </c>
      <c r="G89" s="71">
        <v>1</v>
      </c>
      <c r="H89">
        <v>0</v>
      </c>
      <c r="I89" s="12">
        <v>0</v>
      </c>
      <c r="J89">
        <v>0</v>
      </c>
      <c r="K89">
        <v>9</v>
      </c>
      <c r="L89">
        <v>0</v>
      </c>
      <c r="M89">
        <v>0</v>
      </c>
      <c r="N89">
        <v>0</v>
      </c>
      <c r="O89">
        <v>0</v>
      </c>
      <c r="P89">
        <v>0</v>
      </c>
      <c r="Q89">
        <v>2</v>
      </c>
      <c r="R89">
        <v>0</v>
      </c>
      <c r="S89">
        <v>0</v>
      </c>
      <c r="T89" s="12">
        <v>0</v>
      </c>
      <c r="U89">
        <v>0</v>
      </c>
      <c r="V89">
        <v>0</v>
      </c>
      <c r="W89">
        <v>0</v>
      </c>
      <c r="X89">
        <v>0</v>
      </c>
      <c r="Y89" s="12">
        <v>2</v>
      </c>
      <c r="Z89">
        <v>0</v>
      </c>
      <c r="AA89" s="12">
        <v>0</v>
      </c>
      <c r="AB89" s="12">
        <v>3</v>
      </c>
    </row>
    <row r="90" spans="1:28" x14ac:dyDescent="0.25">
      <c r="A90" s="151" t="s">
        <v>118</v>
      </c>
      <c r="B90" s="151" t="s">
        <v>119</v>
      </c>
      <c r="C90" s="149">
        <f t="shared" si="7"/>
        <v>89</v>
      </c>
      <c r="D90" s="15">
        <v>26</v>
      </c>
      <c r="E90" s="15">
        <v>0</v>
      </c>
      <c r="F90" s="15">
        <v>0</v>
      </c>
      <c r="G90" s="15">
        <v>0</v>
      </c>
      <c r="H90">
        <v>0</v>
      </c>
      <c r="I90" s="8">
        <v>6</v>
      </c>
      <c r="J90">
        <v>0</v>
      </c>
      <c r="K90">
        <v>0</v>
      </c>
      <c r="L90">
        <v>8</v>
      </c>
      <c r="M90">
        <v>17</v>
      </c>
      <c r="N90">
        <v>17</v>
      </c>
      <c r="O90">
        <v>0</v>
      </c>
      <c r="P90">
        <v>0</v>
      </c>
      <c r="Q90">
        <v>15</v>
      </c>
      <c r="R90">
        <v>0</v>
      </c>
      <c r="S90">
        <v>0</v>
      </c>
      <c r="T90">
        <v>0</v>
      </c>
      <c r="U90">
        <v>0</v>
      </c>
      <c r="V90" s="8">
        <v>0</v>
      </c>
      <c r="W90">
        <v>0</v>
      </c>
      <c r="X90">
        <v>0</v>
      </c>
      <c r="Y90" s="8">
        <v>0</v>
      </c>
      <c r="Z90">
        <v>0</v>
      </c>
      <c r="AA90">
        <v>0</v>
      </c>
      <c r="AB90">
        <v>0</v>
      </c>
    </row>
    <row r="91" spans="1:28" x14ac:dyDescent="0.25">
      <c r="A91" s="151" t="s">
        <v>118</v>
      </c>
      <c r="B91" s="151" t="s">
        <v>120</v>
      </c>
      <c r="C91" s="10">
        <f t="shared" si="7"/>
        <v>77</v>
      </c>
      <c r="D91" s="8">
        <v>0</v>
      </c>
      <c r="E91" s="8">
        <v>0</v>
      </c>
      <c r="F91" s="8">
        <v>0</v>
      </c>
      <c r="G91" s="8">
        <v>0</v>
      </c>
      <c r="H91">
        <v>0</v>
      </c>
      <c r="I91" s="8">
        <v>0</v>
      </c>
      <c r="J91">
        <v>0</v>
      </c>
      <c r="K91">
        <v>69</v>
      </c>
      <c r="L91">
        <v>0</v>
      </c>
      <c r="M91">
        <v>0</v>
      </c>
      <c r="N91">
        <v>8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s="8">
        <v>0</v>
      </c>
      <c r="W91">
        <v>0</v>
      </c>
      <c r="X91">
        <v>0</v>
      </c>
      <c r="Y91" s="8">
        <v>0</v>
      </c>
      <c r="Z91">
        <v>0</v>
      </c>
      <c r="AA91">
        <v>0</v>
      </c>
      <c r="AB91">
        <v>0</v>
      </c>
    </row>
    <row r="92" spans="1:28" x14ac:dyDescent="0.25">
      <c r="A92" s="151" t="s">
        <v>118</v>
      </c>
      <c r="B92" s="151" t="s">
        <v>121</v>
      </c>
      <c r="C92" s="10">
        <f t="shared" si="7"/>
        <v>24</v>
      </c>
      <c r="D92" s="8">
        <v>0</v>
      </c>
      <c r="E92" s="8">
        <v>0</v>
      </c>
      <c r="F92" s="8">
        <v>0</v>
      </c>
      <c r="G92" s="8">
        <v>0</v>
      </c>
      <c r="H92">
        <v>0</v>
      </c>
      <c r="I92" s="8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s="8">
        <v>0</v>
      </c>
      <c r="W92">
        <v>0</v>
      </c>
      <c r="X92">
        <v>0</v>
      </c>
      <c r="Y92" s="8">
        <v>24</v>
      </c>
      <c r="Z92">
        <v>0</v>
      </c>
      <c r="AA92">
        <v>0</v>
      </c>
      <c r="AB92">
        <v>0</v>
      </c>
    </row>
    <row r="93" spans="1:28" x14ac:dyDescent="0.25">
      <c r="A93" s="151" t="s">
        <v>118</v>
      </c>
      <c r="B93" s="151" t="s">
        <v>100</v>
      </c>
      <c r="C93" s="10">
        <f>SUM(D93:AB93)</f>
        <v>176</v>
      </c>
      <c r="D93" s="8">
        <v>43</v>
      </c>
      <c r="E93" s="8">
        <v>56</v>
      </c>
      <c r="F93" s="8">
        <v>18</v>
      </c>
      <c r="G93" s="8">
        <v>19</v>
      </c>
      <c r="H93">
        <v>0</v>
      </c>
      <c r="I93" s="8">
        <v>40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 s="8">
        <v>0</v>
      </c>
      <c r="W93">
        <v>0</v>
      </c>
      <c r="X93">
        <v>0</v>
      </c>
      <c r="Y93" s="8">
        <v>0</v>
      </c>
      <c r="Z93">
        <v>0</v>
      </c>
      <c r="AA93">
        <v>0</v>
      </c>
      <c r="AB93">
        <v>0</v>
      </c>
    </row>
    <row r="94" spans="1:28" x14ac:dyDescent="0.25">
      <c r="A94" s="151" t="s">
        <v>118</v>
      </c>
      <c r="B94" s="151" t="s">
        <v>107</v>
      </c>
      <c r="C94" s="10">
        <f>SUM(D94:AB94)</f>
        <v>57</v>
      </c>
      <c r="D94" s="8">
        <v>57</v>
      </c>
      <c r="E94" s="8">
        <v>0</v>
      </c>
      <c r="F94" s="8">
        <v>0</v>
      </c>
      <c r="G94" s="8">
        <v>0</v>
      </c>
      <c r="H94">
        <v>0</v>
      </c>
      <c r="I94" s="8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 s="8">
        <v>0</v>
      </c>
      <c r="W94">
        <v>0</v>
      </c>
      <c r="X94">
        <v>0</v>
      </c>
      <c r="Y94" s="8">
        <v>0</v>
      </c>
      <c r="Z94">
        <v>0</v>
      </c>
      <c r="AA94">
        <v>0</v>
      </c>
      <c r="AB94">
        <v>0</v>
      </c>
    </row>
    <row r="95" spans="1:28" x14ac:dyDescent="0.25">
      <c r="A95" s="151" t="s">
        <v>118</v>
      </c>
      <c r="B95" s="151" t="s">
        <v>122</v>
      </c>
      <c r="C95" s="10">
        <f>SUM(D95:AB95)</f>
        <v>77</v>
      </c>
      <c r="D95" s="8">
        <v>0</v>
      </c>
      <c r="E95" s="8">
        <v>0</v>
      </c>
      <c r="F95" s="8">
        <v>0</v>
      </c>
      <c r="G95" s="8">
        <v>0</v>
      </c>
      <c r="H95">
        <v>0</v>
      </c>
      <c r="I95" s="8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 s="8">
        <v>77</v>
      </c>
      <c r="W95">
        <v>0</v>
      </c>
      <c r="X95">
        <v>0</v>
      </c>
      <c r="Y95" s="8">
        <v>0</v>
      </c>
      <c r="Z95">
        <v>0</v>
      </c>
      <c r="AA95">
        <v>0</v>
      </c>
      <c r="AB95">
        <v>0</v>
      </c>
    </row>
    <row r="96" spans="1:28" x14ac:dyDescent="0.25">
      <c r="A96" s="151" t="s">
        <v>118</v>
      </c>
      <c r="B96" s="151" t="s">
        <v>123</v>
      </c>
      <c r="C96" s="10">
        <f>SUM(D96:AB96)</f>
        <v>19</v>
      </c>
      <c r="D96" s="8">
        <v>0</v>
      </c>
      <c r="E96" s="8">
        <v>13</v>
      </c>
      <c r="F96" s="8">
        <v>6</v>
      </c>
      <c r="G96" s="8">
        <v>0</v>
      </c>
      <c r="H96">
        <v>0</v>
      </c>
      <c r="I96" s="8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 s="8">
        <v>0</v>
      </c>
      <c r="W96">
        <v>0</v>
      </c>
      <c r="X96">
        <v>0</v>
      </c>
      <c r="Y96" s="8">
        <v>0</v>
      </c>
      <c r="Z96">
        <v>0</v>
      </c>
      <c r="AA96">
        <v>0</v>
      </c>
      <c r="AB96">
        <v>0</v>
      </c>
    </row>
    <row r="97" spans="1:28" x14ac:dyDescent="0.25">
      <c r="A97" s="151" t="s">
        <v>118</v>
      </c>
      <c r="B97" s="151" t="s">
        <v>124</v>
      </c>
      <c r="C97" s="10">
        <f>SUM(D97:AB97)</f>
        <v>17</v>
      </c>
      <c r="D97" s="8">
        <v>0</v>
      </c>
      <c r="E97" s="8">
        <v>5</v>
      </c>
      <c r="F97" s="8">
        <v>0</v>
      </c>
      <c r="G97" s="8">
        <v>0</v>
      </c>
      <c r="H97">
        <v>0</v>
      </c>
      <c r="I97" s="8">
        <v>12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 s="8">
        <v>0</v>
      </c>
      <c r="W97">
        <v>0</v>
      </c>
      <c r="X97">
        <v>0</v>
      </c>
      <c r="Y97" s="8">
        <v>0</v>
      </c>
      <c r="Z97">
        <v>0</v>
      </c>
      <c r="AA97">
        <v>0</v>
      </c>
      <c r="AB97">
        <v>0</v>
      </c>
    </row>
    <row r="98" spans="1:28" x14ac:dyDescent="0.25">
      <c r="A98" s="151" t="s">
        <v>118</v>
      </c>
      <c r="B98" s="151" t="s">
        <v>145</v>
      </c>
      <c r="C98" s="10">
        <f t="shared" ref="C98:C109" si="8">SUM(D98:AB98)</f>
        <v>15</v>
      </c>
      <c r="D98" s="8">
        <v>0</v>
      </c>
      <c r="E98" s="8">
        <v>15</v>
      </c>
      <c r="F98" s="8">
        <v>0</v>
      </c>
      <c r="G98" s="8">
        <v>0</v>
      </c>
      <c r="H98">
        <v>0</v>
      </c>
      <c r="I98" s="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 s="8">
        <v>0</v>
      </c>
      <c r="W98">
        <v>0</v>
      </c>
      <c r="X98">
        <v>0</v>
      </c>
      <c r="Y98" s="8">
        <v>0</v>
      </c>
      <c r="Z98">
        <v>0</v>
      </c>
      <c r="AA98">
        <v>0</v>
      </c>
      <c r="AB98">
        <v>0</v>
      </c>
    </row>
    <row r="99" spans="1:28" x14ac:dyDescent="0.25">
      <c r="A99" s="151" t="s">
        <v>118</v>
      </c>
      <c r="B99" s="151" t="s">
        <v>146</v>
      </c>
      <c r="C99" s="10">
        <f t="shared" si="8"/>
        <v>13</v>
      </c>
      <c r="D99" s="8">
        <v>13</v>
      </c>
      <c r="E99" s="8">
        <v>0</v>
      </c>
      <c r="F99" s="8">
        <v>0</v>
      </c>
      <c r="G99" s="8">
        <v>0</v>
      </c>
      <c r="H99">
        <v>0</v>
      </c>
      <c r="I99" s="8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 s="8">
        <v>0</v>
      </c>
      <c r="W99">
        <v>0</v>
      </c>
      <c r="X99">
        <v>0</v>
      </c>
      <c r="Y99" s="8">
        <v>0</v>
      </c>
      <c r="Z99">
        <v>0</v>
      </c>
      <c r="AA99">
        <v>0</v>
      </c>
      <c r="AB99">
        <v>0</v>
      </c>
    </row>
    <row r="100" spans="1:28" x14ac:dyDescent="0.25">
      <c r="A100" s="151" t="s">
        <v>125</v>
      </c>
      <c r="B100" s="151" t="s">
        <v>126</v>
      </c>
      <c r="C100" s="10">
        <f t="shared" si="8"/>
        <v>31</v>
      </c>
      <c r="D100">
        <v>0</v>
      </c>
      <c r="E100">
        <v>0</v>
      </c>
      <c r="F100">
        <v>0</v>
      </c>
      <c r="G100" s="8">
        <v>31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</row>
    <row r="101" spans="1:28" x14ac:dyDescent="0.25">
      <c r="A101" s="151" t="s">
        <v>125</v>
      </c>
      <c r="B101" s="151" t="s">
        <v>127</v>
      </c>
      <c r="C101" s="10">
        <f t="shared" si="8"/>
        <v>32</v>
      </c>
      <c r="D101">
        <v>0</v>
      </c>
      <c r="E101">
        <v>0</v>
      </c>
      <c r="F101">
        <v>0</v>
      </c>
      <c r="G101" s="8">
        <v>32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</row>
    <row r="102" spans="1:28" x14ac:dyDescent="0.25">
      <c r="A102" s="151" t="s">
        <v>125</v>
      </c>
      <c r="B102" s="151" t="s">
        <v>128</v>
      </c>
      <c r="C102" s="10">
        <f t="shared" si="8"/>
        <v>44</v>
      </c>
      <c r="D102">
        <v>0</v>
      </c>
      <c r="E102">
        <v>0</v>
      </c>
      <c r="F102">
        <v>0</v>
      </c>
      <c r="G102" s="8">
        <v>44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</row>
    <row r="103" spans="1:28" x14ac:dyDescent="0.25">
      <c r="A103" s="151" t="s">
        <v>129</v>
      </c>
      <c r="B103" s="151" t="s">
        <v>130</v>
      </c>
      <c r="C103" s="10">
        <f t="shared" si="8"/>
        <v>27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27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</row>
    <row r="104" spans="1:28" x14ac:dyDescent="0.25">
      <c r="A104" s="151" t="s">
        <v>129</v>
      </c>
      <c r="B104" s="151" t="s">
        <v>131</v>
      </c>
      <c r="C104" s="10">
        <f t="shared" si="8"/>
        <v>30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30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</row>
    <row r="105" spans="1:28" x14ac:dyDescent="0.25">
      <c r="A105" s="151" t="s">
        <v>129</v>
      </c>
      <c r="B105" s="151" t="s">
        <v>132</v>
      </c>
      <c r="C105" s="10">
        <f t="shared" si="8"/>
        <v>17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17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</row>
    <row r="106" spans="1:28" x14ac:dyDescent="0.25">
      <c r="A106" s="151" t="s">
        <v>129</v>
      </c>
      <c r="B106" s="151" t="s">
        <v>133</v>
      </c>
      <c r="C106" s="10">
        <f t="shared" si="8"/>
        <v>32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32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</row>
    <row r="107" spans="1:28" x14ac:dyDescent="0.25">
      <c r="A107" s="151" t="s">
        <v>129</v>
      </c>
      <c r="B107" s="151" t="s">
        <v>134</v>
      </c>
      <c r="C107" s="10">
        <f t="shared" si="8"/>
        <v>27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27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</row>
    <row r="108" spans="1:28" x14ac:dyDescent="0.25">
      <c r="A108" s="151" t="s">
        <v>129</v>
      </c>
      <c r="B108" s="151" t="s">
        <v>147</v>
      </c>
      <c r="C108" s="10">
        <f t="shared" si="8"/>
        <v>9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9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</row>
    <row r="109" spans="1:28" x14ac:dyDescent="0.25">
      <c r="A109" s="151" t="s">
        <v>135</v>
      </c>
      <c r="B109" s="151" t="s">
        <v>100</v>
      </c>
      <c r="C109" s="10">
        <f t="shared" si="8"/>
        <v>89</v>
      </c>
      <c r="D109" s="8">
        <v>6</v>
      </c>
      <c r="E109" s="8">
        <v>52</v>
      </c>
      <c r="F109" s="8">
        <v>18</v>
      </c>
      <c r="G109">
        <v>0</v>
      </c>
      <c r="H109">
        <v>0</v>
      </c>
      <c r="I109" s="8">
        <v>13</v>
      </c>
      <c r="J109">
        <v>0</v>
      </c>
      <c r="K109" s="8">
        <v>0</v>
      </c>
      <c r="L109" s="8">
        <v>0</v>
      </c>
      <c r="M109">
        <v>0</v>
      </c>
      <c r="N109" s="8">
        <v>0</v>
      </c>
      <c r="O109">
        <v>0</v>
      </c>
      <c r="P109" s="8">
        <v>0</v>
      </c>
      <c r="Q109" s="8"/>
      <c r="R109">
        <v>0</v>
      </c>
      <c r="S109">
        <v>0</v>
      </c>
      <c r="T109" s="8">
        <v>0</v>
      </c>
      <c r="U109">
        <v>0</v>
      </c>
      <c r="V109" s="8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 s="8">
        <v>0</v>
      </c>
    </row>
    <row r="110" spans="1:28" x14ac:dyDescent="0.25">
      <c r="A110" s="151" t="s">
        <v>135</v>
      </c>
      <c r="B110" s="151" t="s">
        <v>136</v>
      </c>
      <c r="C110" s="10">
        <f>SUM(D110:AB110)</f>
        <v>43</v>
      </c>
      <c r="D110" s="8">
        <v>0</v>
      </c>
      <c r="E110" s="8">
        <v>0</v>
      </c>
      <c r="F110" s="8">
        <v>0</v>
      </c>
      <c r="G110">
        <v>0</v>
      </c>
      <c r="H110">
        <v>0</v>
      </c>
      <c r="I110" s="8">
        <v>43</v>
      </c>
      <c r="J110">
        <v>0</v>
      </c>
      <c r="K110" s="8">
        <v>0</v>
      </c>
      <c r="L110" s="8">
        <v>0</v>
      </c>
      <c r="M110">
        <v>0</v>
      </c>
      <c r="N110" s="8">
        <v>0</v>
      </c>
      <c r="O110">
        <v>0</v>
      </c>
      <c r="P110" s="8">
        <v>0</v>
      </c>
      <c r="Q110" s="8">
        <v>0</v>
      </c>
      <c r="R110">
        <v>0</v>
      </c>
      <c r="S110">
        <v>0</v>
      </c>
      <c r="T110" s="8">
        <v>0</v>
      </c>
      <c r="U110">
        <v>0</v>
      </c>
      <c r="V110" s="8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 s="8">
        <v>0</v>
      </c>
    </row>
    <row r="111" spans="1:28" x14ac:dyDescent="0.25">
      <c r="A111" s="151" t="s">
        <v>135</v>
      </c>
      <c r="B111" s="151" t="s">
        <v>137</v>
      </c>
      <c r="C111" s="10">
        <f>SUM(D111:AB111)</f>
        <v>75</v>
      </c>
      <c r="D111" s="8">
        <v>0</v>
      </c>
      <c r="E111" s="8">
        <v>0</v>
      </c>
      <c r="F111" s="8">
        <v>0</v>
      </c>
      <c r="G111">
        <v>0</v>
      </c>
      <c r="H111">
        <v>0</v>
      </c>
      <c r="I111" s="8">
        <v>75</v>
      </c>
      <c r="J111">
        <v>0</v>
      </c>
      <c r="K111" s="8">
        <v>0</v>
      </c>
      <c r="L111" s="8">
        <v>0</v>
      </c>
      <c r="M111">
        <v>0</v>
      </c>
      <c r="N111" s="8">
        <v>0</v>
      </c>
      <c r="O111">
        <v>0</v>
      </c>
      <c r="P111" s="8">
        <v>0</v>
      </c>
      <c r="Q111" s="8">
        <v>0</v>
      </c>
      <c r="R111">
        <v>0</v>
      </c>
      <c r="S111">
        <v>0</v>
      </c>
      <c r="T111" s="8">
        <v>0</v>
      </c>
      <c r="U111">
        <v>0</v>
      </c>
      <c r="V111" s="8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 s="8">
        <v>0</v>
      </c>
    </row>
    <row r="112" spans="1:28" x14ac:dyDescent="0.25">
      <c r="A112" s="151" t="s">
        <v>135</v>
      </c>
      <c r="B112" s="152" t="s">
        <v>138</v>
      </c>
      <c r="C112" s="10">
        <f>SUM(D112:AB112)</f>
        <v>26</v>
      </c>
      <c r="D112" s="8">
        <v>0</v>
      </c>
      <c r="E112" s="8">
        <v>0</v>
      </c>
      <c r="F112" s="8">
        <v>0</v>
      </c>
      <c r="G112">
        <v>0</v>
      </c>
      <c r="H112">
        <v>0</v>
      </c>
      <c r="I112" s="8">
        <v>0</v>
      </c>
      <c r="J112">
        <v>0</v>
      </c>
      <c r="K112" s="8">
        <v>0</v>
      </c>
      <c r="L112" s="8">
        <v>0</v>
      </c>
      <c r="M112">
        <v>0</v>
      </c>
      <c r="N112" s="8">
        <v>0</v>
      </c>
      <c r="O112">
        <v>0</v>
      </c>
      <c r="P112" s="8">
        <v>0</v>
      </c>
      <c r="Q112" s="8">
        <v>0</v>
      </c>
      <c r="R112">
        <v>0</v>
      </c>
      <c r="S112">
        <v>0</v>
      </c>
      <c r="T112" s="8">
        <v>0</v>
      </c>
      <c r="U112">
        <v>0</v>
      </c>
      <c r="V112" s="8">
        <v>26</v>
      </c>
      <c r="W112">
        <v>0</v>
      </c>
      <c r="X112">
        <v>0</v>
      </c>
      <c r="Y112">
        <v>0</v>
      </c>
      <c r="Z112">
        <v>0</v>
      </c>
      <c r="AA112">
        <v>0</v>
      </c>
      <c r="AB112" s="8">
        <v>0</v>
      </c>
    </row>
    <row r="113" spans="1:28" x14ac:dyDescent="0.25">
      <c r="A113" s="151" t="s">
        <v>135</v>
      </c>
      <c r="B113" s="151" t="s">
        <v>113</v>
      </c>
      <c r="C113" s="10">
        <f>SUM(D113:AB113)</f>
        <v>54</v>
      </c>
      <c r="D113" s="8">
        <v>0</v>
      </c>
      <c r="E113" s="8">
        <v>2</v>
      </c>
      <c r="F113" s="8">
        <v>0</v>
      </c>
      <c r="G113">
        <v>0</v>
      </c>
      <c r="H113">
        <v>0</v>
      </c>
      <c r="I113" s="8">
        <v>0</v>
      </c>
      <c r="J113">
        <v>0</v>
      </c>
      <c r="K113" s="8">
        <v>1</v>
      </c>
      <c r="L113" s="8">
        <v>2</v>
      </c>
      <c r="M113">
        <v>0</v>
      </c>
      <c r="N113" s="8">
        <v>6</v>
      </c>
      <c r="O113">
        <v>0</v>
      </c>
      <c r="P113" s="8">
        <v>23</v>
      </c>
      <c r="Q113" s="8">
        <v>7</v>
      </c>
      <c r="R113">
        <v>0</v>
      </c>
      <c r="S113">
        <v>0</v>
      </c>
      <c r="T113" s="8">
        <v>12</v>
      </c>
      <c r="U113">
        <v>0</v>
      </c>
      <c r="V113" s="8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 s="8">
        <v>1</v>
      </c>
    </row>
    <row r="114" spans="1:28" x14ac:dyDescent="0.25">
      <c r="A114" s="151" t="s">
        <v>135</v>
      </c>
      <c r="B114" s="151" t="s">
        <v>139</v>
      </c>
      <c r="C114" s="10">
        <f>SUM(D114:AB114)</f>
        <v>6</v>
      </c>
      <c r="D114" s="8">
        <v>0</v>
      </c>
      <c r="E114" s="8">
        <v>0</v>
      </c>
      <c r="F114" s="8">
        <v>0</v>
      </c>
      <c r="G114">
        <v>0</v>
      </c>
      <c r="H114">
        <v>0</v>
      </c>
      <c r="I114" s="8">
        <v>0</v>
      </c>
      <c r="J114">
        <v>0</v>
      </c>
      <c r="K114" s="8">
        <v>6</v>
      </c>
      <c r="L114" s="8">
        <v>0</v>
      </c>
      <c r="M114">
        <v>0</v>
      </c>
      <c r="N114" s="8">
        <v>0</v>
      </c>
      <c r="O114">
        <v>0</v>
      </c>
      <c r="P114" s="8">
        <v>0</v>
      </c>
      <c r="Q114" s="8">
        <v>0</v>
      </c>
      <c r="R114">
        <v>0</v>
      </c>
      <c r="S114">
        <v>0</v>
      </c>
      <c r="T114" s="8">
        <v>0</v>
      </c>
      <c r="U114">
        <v>0</v>
      </c>
      <c r="V114" s="8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 s="8">
        <v>0</v>
      </c>
    </row>
    <row r="115" spans="1:28" x14ac:dyDescent="0.25">
      <c r="A115" s="151" t="s">
        <v>140</v>
      </c>
      <c r="B115" s="151" t="s">
        <v>107</v>
      </c>
      <c r="C115" s="10">
        <f t="shared" ref="C115:C121" si="9">SUM(D115:AB115)</f>
        <v>149</v>
      </c>
      <c r="D115">
        <v>57</v>
      </c>
      <c r="E115">
        <v>22</v>
      </c>
      <c r="F115">
        <v>0</v>
      </c>
      <c r="G115">
        <v>9</v>
      </c>
      <c r="H115">
        <v>0</v>
      </c>
      <c r="I115">
        <v>13</v>
      </c>
      <c r="J115">
        <v>0</v>
      </c>
      <c r="K115">
        <v>10</v>
      </c>
      <c r="L115">
        <v>0</v>
      </c>
      <c r="M115">
        <v>6</v>
      </c>
      <c r="N115">
        <v>1</v>
      </c>
      <c r="O115">
        <v>0</v>
      </c>
      <c r="P115">
        <v>6</v>
      </c>
      <c r="Q115">
        <v>6</v>
      </c>
      <c r="R115">
        <v>0</v>
      </c>
      <c r="S115">
        <v>0</v>
      </c>
      <c r="T115">
        <v>8</v>
      </c>
      <c r="U115">
        <v>0</v>
      </c>
      <c r="V115">
        <v>0</v>
      </c>
      <c r="W115">
        <v>0</v>
      </c>
      <c r="X115">
        <v>0</v>
      </c>
      <c r="Y115">
        <v>6</v>
      </c>
      <c r="Z115">
        <v>0</v>
      </c>
      <c r="AA115">
        <v>0</v>
      </c>
      <c r="AB115">
        <v>5</v>
      </c>
    </row>
    <row r="116" spans="1:28" x14ac:dyDescent="0.25">
      <c r="A116" s="151" t="s">
        <v>140</v>
      </c>
      <c r="B116" s="151" t="s">
        <v>108</v>
      </c>
      <c r="C116" s="10">
        <f t="shared" si="9"/>
        <v>42</v>
      </c>
      <c r="D116">
        <v>7</v>
      </c>
      <c r="E116">
        <v>23</v>
      </c>
      <c r="F116">
        <v>0</v>
      </c>
      <c r="G116">
        <v>1</v>
      </c>
      <c r="H116">
        <v>0</v>
      </c>
      <c r="I116">
        <v>11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</row>
    <row r="117" spans="1:28" x14ac:dyDescent="0.25">
      <c r="A117" s="151" t="s">
        <v>140</v>
      </c>
      <c r="B117" s="151" t="s">
        <v>100</v>
      </c>
      <c r="C117" s="10">
        <f t="shared" si="9"/>
        <v>43</v>
      </c>
      <c r="D117">
        <v>0</v>
      </c>
      <c r="E117">
        <v>28</v>
      </c>
      <c r="F117">
        <v>7</v>
      </c>
      <c r="G117">
        <v>0</v>
      </c>
      <c r="H117">
        <v>0</v>
      </c>
      <c r="I117">
        <v>8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</row>
    <row r="118" spans="1:28" x14ac:dyDescent="0.25">
      <c r="A118" s="151" t="s">
        <v>140</v>
      </c>
      <c r="B118" s="151" t="s">
        <v>131</v>
      </c>
      <c r="C118" s="10">
        <f t="shared" si="9"/>
        <v>41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41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</row>
    <row r="119" spans="1:28" x14ac:dyDescent="0.25">
      <c r="A119" s="151" t="s">
        <v>141</v>
      </c>
      <c r="B119" s="151" t="s">
        <v>107</v>
      </c>
      <c r="C119" s="10">
        <f t="shared" si="9"/>
        <v>58</v>
      </c>
      <c r="D119" s="8">
        <v>48</v>
      </c>
      <c r="E119" s="8">
        <v>10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</row>
    <row r="120" spans="1:28" x14ac:dyDescent="0.25">
      <c r="A120" s="151" t="s">
        <v>141</v>
      </c>
      <c r="B120" s="151" t="s">
        <v>142</v>
      </c>
      <c r="C120" s="10">
        <f t="shared" si="9"/>
        <v>41</v>
      </c>
      <c r="D120" s="8">
        <v>0</v>
      </c>
      <c r="E120" s="8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17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14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10</v>
      </c>
    </row>
    <row r="121" spans="1:28" x14ac:dyDescent="0.25">
      <c r="A121" s="151" t="s">
        <v>141</v>
      </c>
      <c r="B121" s="151" t="s">
        <v>143</v>
      </c>
      <c r="C121" s="10">
        <f t="shared" si="9"/>
        <v>7</v>
      </c>
      <c r="D121" s="8">
        <v>0</v>
      </c>
      <c r="E121" s="8">
        <v>7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</row>
    <row r="122" spans="1:28" x14ac:dyDescent="0.25">
      <c r="C122" s="1">
        <f>SUM(C3:C121)</f>
        <v>9779</v>
      </c>
      <c r="D122" s="1">
        <f t="shared" ref="D122:AB122" si="10">SUM(D3:D121)</f>
        <v>694</v>
      </c>
      <c r="E122" s="1">
        <f t="shared" si="10"/>
        <v>947</v>
      </c>
      <c r="F122" s="1">
        <f t="shared" si="10"/>
        <v>178</v>
      </c>
      <c r="G122" s="1">
        <f t="shared" si="10"/>
        <v>496</v>
      </c>
      <c r="H122" s="1">
        <f t="shared" si="10"/>
        <v>394</v>
      </c>
      <c r="I122" s="1">
        <f t="shared" si="10"/>
        <v>526</v>
      </c>
      <c r="J122" s="1">
        <f t="shared" si="10"/>
        <v>286</v>
      </c>
      <c r="K122" s="1">
        <f t="shared" si="10"/>
        <v>1034</v>
      </c>
      <c r="L122" s="1">
        <f t="shared" si="10"/>
        <v>209</v>
      </c>
      <c r="M122" s="1">
        <f t="shared" si="10"/>
        <v>199</v>
      </c>
      <c r="N122" s="1">
        <f t="shared" si="10"/>
        <v>193</v>
      </c>
      <c r="O122" s="1">
        <f t="shared" si="10"/>
        <v>176</v>
      </c>
      <c r="P122" s="1">
        <f t="shared" si="10"/>
        <v>443</v>
      </c>
      <c r="Q122" s="1">
        <f t="shared" si="10"/>
        <v>273</v>
      </c>
      <c r="R122" s="1">
        <f t="shared" si="10"/>
        <v>592</v>
      </c>
      <c r="S122" s="1">
        <f t="shared" si="10"/>
        <v>205</v>
      </c>
      <c r="T122" s="1">
        <f t="shared" si="10"/>
        <v>521</v>
      </c>
      <c r="U122" s="1">
        <f t="shared" si="10"/>
        <v>148</v>
      </c>
      <c r="V122" s="1">
        <f t="shared" si="10"/>
        <v>1314</v>
      </c>
      <c r="W122" s="1">
        <f t="shared" si="10"/>
        <v>252</v>
      </c>
      <c r="X122" s="1">
        <f t="shared" si="10"/>
        <v>174</v>
      </c>
      <c r="Y122" s="1">
        <f t="shared" si="10"/>
        <v>143</v>
      </c>
      <c r="Z122" s="1">
        <f t="shared" si="10"/>
        <v>112</v>
      </c>
      <c r="AA122" s="1">
        <f t="shared" si="10"/>
        <v>60</v>
      </c>
      <c r="AB122" s="1">
        <f t="shared" si="10"/>
        <v>210</v>
      </c>
    </row>
    <row r="124" spans="1:28" ht="18.75" x14ac:dyDescent="0.3">
      <c r="A124" s="153" t="s">
        <v>5</v>
      </c>
    </row>
    <row r="125" spans="1:28" ht="18.75" x14ac:dyDescent="0.3">
      <c r="A125" s="153" t="s">
        <v>6</v>
      </c>
    </row>
    <row r="126" spans="1:28" ht="18.75" x14ac:dyDescent="0.3">
      <c r="A126" s="153" t="s">
        <v>7</v>
      </c>
    </row>
    <row r="127" spans="1:28" ht="18.75" x14ac:dyDescent="0.3">
      <c r="A127" s="153" t="s">
        <v>8</v>
      </c>
    </row>
    <row r="128" spans="1:28" ht="18.75" x14ac:dyDescent="0.3">
      <c r="A128" s="153" t="s">
        <v>9</v>
      </c>
    </row>
    <row r="129" spans="1:1" ht="18.75" x14ac:dyDescent="0.3">
      <c r="A129" s="153" t="s">
        <v>10</v>
      </c>
    </row>
    <row r="130" spans="1:1" ht="18.75" x14ac:dyDescent="0.3">
      <c r="A130" s="153" t="s">
        <v>11</v>
      </c>
    </row>
    <row r="131" spans="1:1" ht="18.75" x14ac:dyDescent="0.3">
      <c r="A131" s="153" t="s">
        <v>12</v>
      </c>
    </row>
    <row r="132" spans="1:1" ht="18.75" x14ac:dyDescent="0.3">
      <c r="A132" s="153" t="s">
        <v>13</v>
      </c>
    </row>
    <row r="133" spans="1:1" ht="18.75" x14ac:dyDescent="0.3">
      <c r="A133" s="153" t="s">
        <v>14</v>
      </c>
    </row>
    <row r="134" spans="1:1" ht="18.75" x14ac:dyDescent="0.3">
      <c r="A134" s="153" t="s">
        <v>15</v>
      </c>
    </row>
    <row r="135" spans="1:1" ht="18.75" x14ac:dyDescent="0.3">
      <c r="A135" s="153" t="s">
        <v>16</v>
      </c>
    </row>
    <row r="136" spans="1:1" ht="18.75" x14ac:dyDescent="0.3">
      <c r="A136" s="153" t="s">
        <v>17</v>
      </c>
    </row>
    <row r="137" spans="1:1" ht="18.75" x14ac:dyDescent="0.3">
      <c r="A137" s="153" t="s">
        <v>18</v>
      </c>
    </row>
    <row r="138" spans="1:1" ht="18.75" x14ac:dyDescent="0.3">
      <c r="A138" s="153" t="s">
        <v>19</v>
      </c>
    </row>
    <row r="139" spans="1:1" ht="18.75" x14ac:dyDescent="0.3">
      <c r="A139" s="153" t="s">
        <v>20</v>
      </c>
    </row>
    <row r="140" spans="1:1" ht="18.75" x14ac:dyDescent="0.3">
      <c r="A140" s="153" t="s">
        <v>21</v>
      </c>
    </row>
    <row r="141" spans="1:1" ht="18.75" x14ac:dyDescent="0.3">
      <c r="A141" s="153" t="s">
        <v>22</v>
      </c>
    </row>
    <row r="142" spans="1:1" ht="18.75" x14ac:dyDescent="0.3">
      <c r="A142" s="153" t="s">
        <v>23</v>
      </c>
    </row>
    <row r="143" spans="1:1" ht="18.75" x14ac:dyDescent="0.3">
      <c r="A143" s="153" t="s">
        <v>24</v>
      </c>
    </row>
    <row r="144" spans="1:1" ht="18.75" x14ac:dyDescent="0.3">
      <c r="A144" s="153" t="s">
        <v>25</v>
      </c>
    </row>
    <row r="145" spans="1:1" ht="18.75" x14ac:dyDescent="0.3">
      <c r="A145" s="153" t="s">
        <v>26</v>
      </c>
    </row>
    <row r="146" spans="1:1" ht="18.75" x14ac:dyDescent="0.3">
      <c r="A146" s="153" t="s">
        <v>27</v>
      </c>
    </row>
    <row r="147" spans="1:1" ht="18.75" x14ac:dyDescent="0.3">
      <c r="A147" s="153" t="s">
        <v>28</v>
      </c>
    </row>
    <row r="148" spans="1:1" ht="18.75" x14ac:dyDescent="0.3">
      <c r="A148" s="153" t="s">
        <v>29</v>
      </c>
    </row>
  </sheetData>
  <dataValidations count="1">
    <dataValidation type="list" showInputMessage="1" showErrorMessage="1" sqref="D1:AB1">
      <formula1>$A$124:$A$148</formula1>
    </dataValidation>
  </dataValidations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9" sqref="A9"/>
    </sheetView>
  </sheetViews>
  <sheetFormatPr defaultRowHeight="15" x14ac:dyDescent="0.25"/>
  <cols>
    <col min="2" max="2" width="51.5703125" bestFit="1" customWidth="1"/>
  </cols>
  <sheetData>
    <row r="1" spans="1:3" x14ac:dyDescent="0.25">
      <c r="A1" s="154">
        <v>91</v>
      </c>
      <c r="B1" s="155" t="s">
        <v>13</v>
      </c>
      <c r="C1" s="156" t="s">
        <v>233</v>
      </c>
    </row>
    <row r="2" spans="1:3" x14ac:dyDescent="0.25">
      <c r="A2" s="154">
        <v>92</v>
      </c>
      <c r="B2" s="155" t="s">
        <v>14</v>
      </c>
      <c r="C2" s="156" t="s">
        <v>233</v>
      </c>
    </row>
    <row r="3" spans="1:3" x14ac:dyDescent="0.25">
      <c r="A3" s="154">
        <v>120</v>
      </c>
      <c r="B3" s="155" t="s">
        <v>17</v>
      </c>
      <c r="C3" s="156" t="s">
        <v>233</v>
      </c>
    </row>
    <row r="4" spans="1:3" x14ac:dyDescent="0.25">
      <c r="A4" s="154">
        <v>130</v>
      </c>
      <c r="B4" s="155" t="s">
        <v>18</v>
      </c>
      <c r="C4" s="156" t="s">
        <v>233</v>
      </c>
    </row>
    <row r="5" spans="1:3" x14ac:dyDescent="0.25">
      <c r="A5" s="154">
        <v>240</v>
      </c>
      <c r="B5" s="155" t="s">
        <v>29</v>
      </c>
      <c r="C5" s="156" t="s">
        <v>233</v>
      </c>
    </row>
    <row r="6" spans="1:3" x14ac:dyDescent="0.25">
      <c r="A6" s="154">
        <v>50</v>
      </c>
      <c r="B6" s="155" t="s">
        <v>9</v>
      </c>
      <c r="C6" s="157" t="s">
        <v>234</v>
      </c>
    </row>
    <row r="7" spans="1:3" x14ac:dyDescent="0.25">
      <c r="A7" s="154">
        <v>100</v>
      </c>
      <c r="B7" s="155" t="s">
        <v>15</v>
      </c>
      <c r="C7" s="157" t="s">
        <v>234</v>
      </c>
    </row>
    <row r="8" spans="1:3" x14ac:dyDescent="0.25">
      <c r="A8" s="154">
        <v>110</v>
      </c>
      <c r="B8" s="155" t="s">
        <v>16</v>
      </c>
      <c r="C8" s="157" t="s">
        <v>234</v>
      </c>
    </row>
    <row r="9" spans="1:3" x14ac:dyDescent="0.25">
      <c r="A9" s="154">
        <v>140</v>
      </c>
      <c r="B9" s="155" t="s">
        <v>19</v>
      </c>
      <c r="C9" s="157" t="s">
        <v>234</v>
      </c>
    </row>
    <row r="10" spans="1:3" x14ac:dyDescent="0.25">
      <c r="A10" s="154">
        <v>150</v>
      </c>
      <c r="B10" s="155" t="s">
        <v>20</v>
      </c>
      <c r="C10" s="157" t="s">
        <v>234</v>
      </c>
    </row>
    <row r="11" spans="1:3" x14ac:dyDescent="0.25">
      <c r="A11" s="154">
        <v>160</v>
      </c>
      <c r="B11" s="155" t="s">
        <v>21</v>
      </c>
      <c r="C11" s="157" t="s">
        <v>234</v>
      </c>
    </row>
    <row r="12" spans="1:3" x14ac:dyDescent="0.25">
      <c r="A12" s="154">
        <v>170</v>
      </c>
      <c r="B12" s="155" t="s">
        <v>22</v>
      </c>
      <c r="C12" s="157" t="s">
        <v>234</v>
      </c>
    </row>
    <row r="13" spans="1:3" x14ac:dyDescent="0.25">
      <c r="A13" s="154">
        <v>180</v>
      </c>
      <c r="B13" s="155" t="s">
        <v>23</v>
      </c>
      <c r="C13" s="158" t="s">
        <v>235</v>
      </c>
    </row>
    <row r="14" spans="1:3" x14ac:dyDescent="0.25">
      <c r="A14" s="154">
        <v>190</v>
      </c>
      <c r="B14" s="155" t="s">
        <v>24</v>
      </c>
      <c r="C14" s="159" t="s">
        <v>236</v>
      </c>
    </row>
    <row r="15" spans="1:3" x14ac:dyDescent="0.25">
      <c r="A15" s="154">
        <v>200</v>
      </c>
      <c r="B15" s="155" t="s">
        <v>25</v>
      </c>
      <c r="C15" s="159" t="s">
        <v>236</v>
      </c>
    </row>
    <row r="16" spans="1:3" x14ac:dyDescent="0.25">
      <c r="A16" s="154">
        <v>10</v>
      </c>
      <c r="B16" s="155" t="s">
        <v>5</v>
      </c>
      <c r="C16" s="160" t="s">
        <v>237</v>
      </c>
    </row>
    <row r="17" spans="1:3" x14ac:dyDescent="0.25">
      <c r="A17" s="154">
        <v>60</v>
      </c>
      <c r="B17" s="155" t="s">
        <v>10</v>
      </c>
      <c r="C17" s="160" t="s">
        <v>237</v>
      </c>
    </row>
    <row r="18" spans="1:3" x14ac:dyDescent="0.25">
      <c r="A18" s="154">
        <v>70</v>
      </c>
      <c r="B18" s="155" t="s">
        <v>11</v>
      </c>
      <c r="C18" s="160" t="s">
        <v>237</v>
      </c>
    </row>
    <row r="19" spans="1:3" x14ac:dyDescent="0.25">
      <c r="A19" s="154">
        <v>80</v>
      </c>
      <c r="B19" s="155" t="s">
        <v>12</v>
      </c>
      <c r="C19" s="160" t="s">
        <v>237</v>
      </c>
    </row>
    <row r="20" spans="1:3" x14ac:dyDescent="0.25">
      <c r="A20" s="154">
        <v>210</v>
      </c>
      <c r="B20" s="155" t="s">
        <v>26</v>
      </c>
      <c r="C20" s="160" t="s">
        <v>237</v>
      </c>
    </row>
    <row r="21" spans="1:3" x14ac:dyDescent="0.25">
      <c r="A21" s="154">
        <v>220</v>
      </c>
      <c r="B21" s="155" t="s">
        <v>27</v>
      </c>
      <c r="C21" s="157" t="s">
        <v>234</v>
      </c>
    </row>
    <row r="22" spans="1:3" x14ac:dyDescent="0.25">
      <c r="A22" s="154">
        <v>230</v>
      </c>
      <c r="B22" s="155" t="s">
        <v>28</v>
      </c>
      <c r="C22" s="160" t="s">
        <v>237</v>
      </c>
    </row>
    <row r="23" spans="1:3" x14ac:dyDescent="0.25">
      <c r="A23" s="154">
        <v>20</v>
      </c>
      <c r="B23" s="155" t="s">
        <v>6</v>
      </c>
      <c r="C23" s="155" t="s">
        <v>238</v>
      </c>
    </row>
    <row r="24" spans="1:3" x14ac:dyDescent="0.25">
      <c r="A24" s="154">
        <v>30</v>
      </c>
      <c r="B24" s="155" t="s">
        <v>7</v>
      </c>
      <c r="C24" s="155" t="s">
        <v>238</v>
      </c>
    </row>
    <row r="25" spans="1:3" x14ac:dyDescent="0.25">
      <c r="A25" s="154">
        <v>40</v>
      </c>
      <c r="B25" s="155" t="s">
        <v>8</v>
      </c>
      <c r="C25" s="155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workbookViewId="0">
      <pane ySplit="2" topLeftCell="A3" activePane="bottomLeft" state="frozen"/>
      <selection pane="bottomLeft" activeCell="W13" sqref="W13"/>
    </sheetView>
  </sheetViews>
  <sheetFormatPr defaultColWidth="8.7109375" defaultRowHeight="15" x14ac:dyDescent="0.25"/>
  <cols>
    <col min="1" max="1" width="48" bestFit="1" customWidth="1"/>
    <col min="2" max="2" width="56.140625" bestFit="1" customWidth="1"/>
    <col min="3" max="3" width="9" style="1" customWidth="1"/>
    <col min="4" max="4" width="7.5703125" hidden="1" customWidth="1"/>
    <col min="5" max="5" width="8.7109375" hidden="1" customWidth="1"/>
    <col min="6" max="6" width="17.140625" hidden="1" customWidth="1"/>
    <col min="7" max="7" width="8.7109375" hidden="1" customWidth="1"/>
    <col min="8" max="8" width="13.42578125" hidden="1" customWidth="1"/>
    <col min="9" max="9" width="13.28515625" hidden="1" customWidth="1"/>
    <col min="10" max="10" width="14.28515625" hidden="1" customWidth="1"/>
    <col min="11" max="12" width="16.28515625" hidden="1" customWidth="1"/>
    <col min="13" max="14" width="13.85546875" hidden="1" customWidth="1"/>
    <col min="15" max="15" width="20.140625" hidden="1" customWidth="1"/>
    <col min="16" max="16" width="20" hidden="1" customWidth="1"/>
    <col min="17" max="18" width="14.7109375" hidden="1" customWidth="1"/>
    <col min="19" max="20" width="13.85546875" hidden="1" customWidth="1"/>
    <col min="21" max="22" width="14" hidden="1" customWidth="1"/>
    <col min="23" max="23" width="16.85546875" customWidth="1"/>
    <col min="24" max="24" width="14.140625" hidden="1" customWidth="1"/>
    <col min="25" max="25" width="16.5703125" bestFit="1" customWidth="1"/>
    <col min="26" max="26" width="11.42578125" bestFit="1" customWidth="1"/>
    <col min="27" max="27" width="12.85546875" bestFit="1" customWidth="1"/>
    <col min="28" max="28" width="12.85546875" customWidth="1"/>
    <col min="29" max="29" width="12.7109375" bestFit="1" customWidth="1"/>
    <col min="30" max="30" width="12.7109375" hidden="1" customWidth="1"/>
    <col min="31" max="31" width="20.140625" bestFit="1" customWidth="1"/>
    <col min="32" max="32" width="13.85546875" bestFit="1" customWidth="1"/>
    <col min="33" max="33" width="21.140625" bestFit="1" customWidth="1"/>
    <col min="34" max="34" width="11.140625" bestFit="1" customWidth="1"/>
    <col min="35" max="35" width="9.7109375" hidden="1" customWidth="1"/>
    <col min="36" max="36" width="15.42578125" bestFit="1" customWidth="1"/>
    <col min="37" max="37" width="12.140625" bestFit="1" customWidth="1"/>
    <col min="38" max="38" width="11.28515625" hidden="1" customWidth="1"/>
    <col min="39" max="39" width="19.5703125" style="16" bestFit="1" customWidth="1"/>
    <col min="40" max="40" width="11.85546875" customWidth="1"/>
    <col min="41" max="41" width="13.5703125" bestFit="1" customWidth="1"/>
    <col min="42" max="42" width="10" bestFit="1" customWidth="1"/>
    <col min="43" max="43" width="17.42578125" bestFit="1" customWidth="1"/>
    <col min="44" max="44" width="7.7109375" customWidth="1"/>
    <col min="45" max="45" width="14.28515625" bestFit="1" customWidth="1"/>
    <col min="46" max="46" width="16.28515625" bestFit="1" customWidth="1"/>
    <col min="47" max="47" width="12" bestFit="1" customWidth="1"/>
    <col min="48" max="48" width="17" bestFit="1" customWidth="1"/>
    <col min="49" max="49" width="12.85546875" bestFit="1" customWidth="1"/>
    <col min="50" max="50" width="20.5703125" bestFit="1" customWidth="1"/>
    <col min="51" max="51" width="13.5703125" bestFit="1" customWidth="1"/>
    <col min="52" max="52" width="9.5703125" bestFit="1" customWidth="1"/>
    <col min="53" max="53" width="16.85546875" bestFit="1" customWidth="1"/>
    <col min="54" max="54" width="11.7109375" bestFit="1" customWidth="1"/>
    <col min="55" max="55" width="15.85546875" bestFit="1" customWidth="1"/>
    <col min="57" max="57" width="16.5703125" bestFit="1" customWidth="1"/>
    <col min="58" max="58" width="6.85546875" bestFit="1" customWidth="1"/>
    <col min="59" max="59" width="15.5703125" bestFit="1" customWidth="1"/>
    <col min="60" max="60" width="14.7109375" bestFit="1" customWidth="1"/>
  </cols>
  <sheetData>
    <row r="1" spans="1:60" ht="45" x14ac:dyDescent="0.25">
      <c r="C1" s="2" t="s">
        <v>144</v>
      </c>
      <c r="D1" s="4" t="s">
        <v>13</v>
      </c>
      <c r="E1" s="4" t="s">
        <v>14</v>
      </c>
      <c r="F1" s="4" t="s">
        <v>17</v>
      </c>
      <c r="G1" s="4" t="s">
        <v>18</v>
      </c>
      <c r="H1" s="4" t="s">
        <v>29</v>
      </c>
      <c r="I1" s="85" t="s">
        <v>159</v>
      </c>
      <c r="J1" s="86" t="s">
        <v>159</v>
      </c>
      <c r="K1" s="87" t="s">
        <v>152</v>
      </c>
      <c r="L1" s="87" t="s">
        <v>152</v>
      </c>
      <c r="M1" s="88"/>
      <c r="N1" s="89"/>
      <c r="O1" s="19"/>
      <c r="P1" s="21" t="s">
        <v>153</v>
      </c>
      <c r="Q1" s="21"/>
      <c r="R1" s="21"/>
      <c r="S1" s="21"/>
      <c r="T1" s="21"/>
      <c r="U1" s="21"/>
      <c r="V1" s="21"/>
      <c r="W1" s="21"/>
      <c r="AH1" s="66"/>
      <c r="AL1" t="s">
        <v>180</v>
      </c>
      <c r="AN1" t="s">
        <v>181</v>
      </c>
      <c r="AO1" s="238" t="s">
        <v>340</v>
      </c>
    </row>
    <row r="2" spans="1:60" x14ac:dyDescent="0.25">
      <c r="A2" s="84" t="s">
        <v>0</v>
      </c>
      <c r="B2" s="84" t="s">
        <v>1</v>
      </c>
      <c r="C2" s="6"/>
      <c r="I2" s="90" t="s">
        <v>185</v>
      </c>
      <c r="J2" s="91" t="s">
        <v>186</v>
      </c>
      <c r="K2" s="91" t="s">
        <v>188</v>
      </c>
      <c r="L2" s="91" t="s">
        <v>187</v>
      </c>
      <c r="M2" s="92" t="s">
        <v>189</v>
      </c>
      <c r="N2" s="93" t="s">
        <v>190</v>
      </c>
      <c r="O2" s="1" t="s">
        <v>171</v>
      </c>
      <c r="P2" s="1" t="s">
        <v>170</v>
      </c>
      <c r="Q2" s="1" t="s">
        <v>191</v>
      </c>
      <c r="R2" s="1" t="s">
        <v>192</v>
      </c>
      <c r="S2" s="1" t="s">
        <v>189</v>
      </c>
      <c r="T2" s="1" t="s">
        <v>190</v>
      </c>
      <c r="U2" s="1" t="s">
        <v>176</v>
      </c>
      <c r="V2" s="1" t="s">
        <v>177</v>
      </c>
      <c r="W2" s="1" t="s">
        <v>175</v>
      </c>
      <c r="X2" s="1" t="s">
        <v>174</v>
      </c>
      <c r="Y2" s="1" t="s">
        <v>339</v>
      </c>
      <c r="Z2" s="145" t="s">
        <v>158</v>
      </c>
      <c r="AA2" s="145" t="s">
        <v>262</v>
      </c>
      <c r="AB2" s="246" t="s">
        <v>344</v>
      </c>
      <c r="AC2" s="1" t="s">
        <v>229</v>
      </c>
      <c r="AD2" s="1" t="s">
        <v>179</v>
      </c>
      <c r="AE2" s="1" t="s">
        <v>343</v>
      </c>
      <c r="AF2" s="1" t="s">
        <v>183</v>
      </c>
      <c r="AG2" s="1" t="s">
        <v>342</v>
      </c>
      <c r="AH2" s="1" t="s">
        <v>163</v>
      </c>
      <c r="AI2" s="1" t="s">
        <v>173</v>
      </c>
      <c r="AJ2" s="1" t="s">
        <v>341</v>
      </c>
      <c r="AK2" s="16"/>
      <c r="AL2" s="51">
        <v>5.694</v>
      </c>
      <c r="AN2" s="25">
        <f>SUM(W3,W4,W10,W19,W25)</f>
        <v>6.1056793774613727</v>
      </c>
      <c r="AO2" s="25">
        <f>SUM(Y3,Y4,Y10,Y19,Y25)</f>
        <v>6.4116592845170466</v>
      </c>
      <c r="AP2" s="1" t="s">
        <v>239</v>
      </c>
      <c r="AQ2" s="1" t="s">
        <v>263</v>
      </c>
      <c r="AR2" s="1" t="s">
        <v>256</v>
      </c>
      <c r="AS2" s="1" t="s">
        <v>240</v>
      </c>
      <c r="AT2" s="1" t="s">
        <v>257</v>
      </c>
      <c r="AU2" s="1" t="s">
        <v>241</v>
      </c>
      <c r="AV2" s="1" t="s">
        <v>258</v>
      </c>
      <c r="AW2" s="1" t="s">
        <v>242</v>
      </c>
      <c r="AX2" s="1" t="s">
        <v>318</v>
      </c>
      <c r="AY2" s="1" t="s">
        <v>335</v>
      </c>
      <c r="AZ2" s="1" t="s">
        <v>243</v>
      </c>
      <c r="BA2" s="1" t="s">
        <v>328</v>
      </c>
      <c r="BB2" s="1" t="s">
        <v>244</v>
      </c>
      <c r="BC2" s="1" t="s">
        <v>336</v>
      </c>
      <c r="BD2" s="1" t="s">
        <v>245</v>
      </c>
      <c r="BE2" s="1" t="s">
        <v>337</v>
      </c>
      <c r="BF2" s="1" t="s">
        <v>246</v>
      </c>
      <c r="BG2" s="1" t="s">
        <v>317</v>
      </c>
      <c r="BH2" s="1" t="s">
        <v>338</v>
      </c>
    </row>
    <row r="3" spans="1:60" x14ac:dyDescent="0.25">
      <c r="A3" s="9" t="s">
        <v>3</v>
      </c>
      <c r="B3" s="9" t="s">
        <v>34</v>
      </c>
      <c r="C3" s="1">
        <f t="shared" ref="C3:C28" si="0">SUM(D3:H3)</f>
        <v>288</v>
      </c>
      <c r="D3" s="8">
        <v>0</v>
      </c>
      <c r="E3" s="8">
        <v>110</v>
      </c>
      <c r="F3" s="8">
        <v>83</v>
      </c>
      <c r="G3" s="8">
        <v>95</v>
      </c>
      <c r="H3" s="8">
        <v>0</v>
      </c>
      <c r="I3" s="94">
        <v>2936.5</v>
      </c>
      <c r="J3" s="15">
        <v>2737.5</v>
      </c>
      <c r="K3" s="95">
        <f t="shared" ref="K3:K12" si="1">I3/C3</f>
        <v>10.196180555555555</v>
      </c>
      <c r="L3" s="96">
        <v>9.5052083333333339</v>
      </c>
      <c r="M3" s="96">
        <f>L3/L31</f>
        <v>5.6206433508089196E-2</v>
      </c>
      <c r="N3" s="97">
        <f>K3/K31</f>
        <v>5.5448851854694482E-2</v>
      </c>
      <c r="O3" s="34">
        <v>961782</v>
      </c>
      <c r="P3" s="34">
        <v>1449596</v>
      </c>
      <c r="Q3" s="34">
        <f t="shared" ref="Q3:Q29" si="2">O3/C3</f>
        <v>3339.5208333333335</v>
      </c>
      <c r="R3" s="77">
        <f t="shared" ref="R3:R29" si="3">P3/C3</f>
        <v>5033.3194444444443</v>
      </c>
      <c r="S3" s="23">
        <f>R3/R31</f>
        <v>5.8990354668026067E-2</v>
      </c>
      <c r="T3" s="23">
        <f>Q3/Q31</f>
        <v>2.4988995994253624E-2</v>
      </c>
      <c r="U3" s="23">
        <f t="shared" ref="U3:U28" si="4">((0.6*M3)+(0.4*S3))</f>
        <v>5.7320001972063946E-2</v>
      </c>
      <c r="V3" s="23">
        <f t="shared" ref="V3:V28" si="5">((0.6*N3)+(0.4*T3))</f>
        <v>4.3264909510518139E-2</v>
      </c>
      <c r="W3" s="25">
        <f t="shared" ref="W3:W11" si="6">(0.6*AX3)+(0.4*BG3)</f>
        <v>1.0455669568435033</v>
      </c>
      <c r="X3" s="27">
        <v>0.251</v>
      </c>
      <c r="Y3" s="25">
        <f t="shared" ref="Y3:Y11" si="7">(0.6*AY3)+(0.4*BH3)</f>
        <v>1.2046832722348724</v>
      </c>
      <c r="Z3" s="67">
        <f>AC3*AK$5</f>
        <v>1879063.0002380526</v>
      </c>
      <c r="AA3" s="67">
        <f>(AE3*AM$5)</f>
        <v>2038303.801940578</v>
      </c>
      <c r="AB3" s="147">
        <f>AA3-Z3</f>
        <v>159240.80170252547</v>
      </c>
      <c r="AC3" s="67">
        <f>C3*AF3</f>
        <v>49.318554898657382</v>
      </c>
      <c r="AD3" s="74">
        <f>X3/AL2</f>
        <v>4.4081489286968742E-2</v>
      </c>
      <c r="AE3" s="241">
        <f>C3*AG3</f>
        <v>54.112167694477996</v>
      </c>
      <c r="AF3" s="74">
        <f>W3/AN$2</f>
        <v>0.1712449822870048</v>
      </c>
      <c r="AG3" s="74">
        <f>Y3/AO$2</f>
        <v>0.18788947116138194</v>
      </c>
      <c r="AH3" s="140">
        <v>5749355.4246362345</v>
      </c>
      <c r="AI3" s="51">
        <v>868</v>
      </c>
      <c r="AJ3" s="140">
        <v>5859135.9433210781</v>
      </c>
      <c r="AK3" s="58"/>
      <c r="AP3">
        <v>5873</v>
      </c>
      <c r="AQ3">
        <v>5901</v>
      </c>
      <c r="AR3">
        <f>AP3-AQ3</f>
        <v>-28</v>
      </c>
      <c r="AS3">
        <v>1762</v>
      </c>
      <c r="AT3" s="119">
        <v>1651.14564</v>
      </c>
      <c r="AU3">
        <f>AP3-AS3</f>
        <v>4111</v>
      </c>
      <c r="AV3" s="119">
        <f>AQ3-AT3</f>
        <v>4249.8543600000003</v>
      </c>
      <c r="AW3" s="23">
        <v>1.99207</v>
      </c>
      <c r="AX3" s="23">
        <f>(AU3-AU$30)/AU$31</f>
        <v>1.9919306306901519</v>
      </c>
      <c r="AY3" s="23">
        <f>(AV3-AV$30)/AV$31</f>
        <v>2.0216115342390744</v>
      </c>
      <c r="AZ3" s="34">
        <v>961782</v>
      </c>
      <c r="BA3" s="77">
        <v>961781.45</v>
      </c>
      <c r="BB3" s="119">
        <v>1138904.93</v>
      </c>
      <c r="BC3" s="34">
        <v>978364.31</v>
      </c>
      <c r="BD3" s="119">
        <f>AZ3-BB3</f>
        <v>-177122.92999999993</v>
      </c>
      <c r="BE3" s="119">
        <f>BA3-BC3</f>
        <v>-16582.860000000102</v>
      </c>
      <c r="BF3" s="23">
        <v>-0.37397999999999998</v>
      </c>
      <c r="BG3" s="23">
        <f>(BD3-BD$30)/BD$31</f>
        <v>-0.37397855392646934</v>
      </c>
      <c r="BH3" s="23">
        <f>(BE3-BE$30)/BE$31</f>
        <v>-2.0709120771430351E-2</v>
      </c>
    </row>
    <row r="4" spans="1:60" x14ac:dyDescent="0.25">
      <c r="A4" s="9" t="s">
        <v>3</v>
      </c>
      <c r="B4" s="9" t="s">
        <v>35</v>
      </c>
      <c r="C4" s="1">
        <f t="shared" si="0"/>
        <v>178</v>
      </c>
      <c r="D4" s="8">
        <v>113</v>
      </c>
      <c r="E4" s="8">
        <v>0</v>
      </c>
      <c r="F4" s="8">
        <v>0</v>
      </c>
      <c r="G4" s="8">
        <v>0</v>
      </c>
      <c r="H4" s="8">
        <v>65</v>
      </c>
      <c r="I4" s="94">
        <v>3395</v>
      </c>
      <c r="J4" s="15">
        <v>3794.5</v>
      </c>
      <c r="K4" s="95">
        <f t="shared" si="1"/>
        <v>19.073033707865168</v>
      </c>
      <c r="L4" s="98">
        <v>21.317415730337078</v>
      </c>
      <c r="M4" s="98">
        <f>L4/L31</f>
        <v>0.12605467105961929</v>
      </c>
      <c r="N4" s="97">
        <f>K4/K31</f>
        <v>0.10372293965614127</v>
      </c>
      <c r="O4" s="77">
        <v>1326752</v>
      </c>
      <c r="P4" s="34">
        <v>1501496</v>
      </c>
      <c r="Q4" s="34">
        <f t="shared" si="2"/>
        <v>7453.6629213483147</v>
      </c>
      <c r="R4" s="77">
        <f t="shared" si="3"/>
        <v>8435.3707865168544</v>
      </c>
      <c r="S4" s="23">
        <f>R4/R31</f>
        <v>9.8862295537822498E-2</v>
      </c>
      <c r="T4" s="23">
        <f>Q4/Q31</f>
        <v>5.5774334756335489E-2</v>
      </c>
      <c r="U4" s="23">
        <f t="shared" si="4"/>
        <v>0.11517772085090058</v>
      </c>
      <c r="V4" s="23">
        <f t="shared" si="5"/>
        <v>8.4543497696218953E-2</v>
      </c>
      <c r="W4" s="25">
        <f t="shared" si="6"/>
        <v>2.3348097947911035</v>
      </c>
      <c r="X4" s="27">
        <v>3.2770000000000001</v>
      </c>
      <c r="Y4" s="25">
        <f t="shared" si="7"/>
        <v>2.3717103177093106</v>
      </c>
      <c r="Z4" s="67">
        <f>AC4*AK$5</f>
        <v>2593394.064319998</v>
      </c>
      <c r="AA4" s="67">
        <f>(AE4*AM$5)</f>
        <v>2480191.370343117</v>
      </c>
      <c r="AB4" s="147">
        <f>AA4-Z4</f>
        <v>-113202.69397688098</v>
      </c>
      <c r="AC4" s="67">
        <f>C4*AF4</f>
        <v>68.067141718406702</v>
      </c>
      <c r="AD4" s="74">
        <f>X4/AL2</f>
        <v>0.57551808921671943</v>
      </c>
      <c r="AE4" s="241">
        <f>C4*AG4</f>
        <v>65.8432424149089</v>
      </c>
      <c r="AF4" s="74">
        <f>W4/AN$2</f>
        <v>0.38239967257531854</v>
      </c>
      <c r="AG4" s="74">
        <f>Y4/AO$2</f>
        <v>0.36990585626353317</v>
      </c>
      <c r="AI4" s="26"/>
      <c r="AJ4" s="26"/>
      <c r="AK4" s="39" t="s">
        <v>184</v>
      </c>
      <c r="AM4" s="83" t="s">
        <v>324</v>
      </c>
      <c r="AP4">
        <v>6790</v>
      </c>
      <c r="AQ4">
        <v>6806</v>
      </c>
      <c r="AR4">
        <f t="shared" ref="AR4:AR29" si="8">AP4-AQ4</f>
        <v>-16</v>
      </c>
      <c r="AS4">
        <v>1089</v>
      </c>
      <c r="AT4" s="119">
        <v>1020.49973</v>
      </c>
      <c r="AU4">
        <f t="shared" ref="AU4:AU28" si="9">AP4-AS4</f>
        <v>5701</v>
      </c>
      <c r="AV4" s="119">
        <f t="shared" ref="AV4:AV28" si="10">AQ4-AT4</f>
        <v>5785.5002700000005</v>
      </c>
      <c r="AW4" s="23">
        <v>2.9653700000000001</v>
      </c>
      <c r="AX4" s="23">
        <f t="shared" ref="AX4:AX28" si="11">(AU4-AU$30)/AU$31</f>
        <v>2.965346172990329</v>
      </c>
      <c r="AY4" s="23">
        <f t="shared" ref="AY4:AY28" si="12">(AV4-AV$30)/AV$31</f>
        <v>2.9436772244139351</v>
      </c>
      <c r="AZ4" s="34">
        <v>1326752</v>
      </c>
      <c r="BA4" s="77">
        <v>1326752.1200000001</v>
      </c>
      <c r="BB4" s="119">
        <v>730155.01</v>
      </c>
      <c r="BC4" s="34">
        <v>669840.06000000006</v>
      </c>
      <c r="BD4" s="119">
        <f t="shared" ref="BD4:BD28" si="13">AZ4-BB4</f>
        <v>596596.99</v>
      </c>
      <c r="BE4" s="119">
        <f t="shared" ref="BE4:BE28" si="14">BA4-BC4</f>
        <v>656912.06000000006</v>
      </c>
      <c r="BF4" s="23">
        <v>1.3890100000000001</v>
      </c>
      <c r="BG4" s="23">
        <f>(BD4-BD$30)/BD$31</f>
        <v>1.3890052274922657</v>
      </c>
      <c r="BH4" s="23">
        <f t="shared" ref="BH4:BH28" si="15">(BE4-BE$30)/BE$31</f>
        <v>1.5137599576523739</v>
      </c>
    </row>
    <row r="5" spans="1:60" x14ac:dyDescent="0.25">
      <c r="A5" s="9" t="s">
        <v>3</v>
      </c>
      <c r="B5" s="9" t="s">
        <v>36</v>
      </c>
      <c r="C5" s="1">
        <f t="shared" si="0"/>
        <v>35</v>
      </c>
      <c r="D5" s="8">
        <v>0</v>
      </c>
      <c r="E5" s="8">
        <v>0</v>
      </c>
      <c r="F5" s="8">
        <v>0</v>
      </c>
      <c r="G5" s="8">
        <v>35</v>
      </c>
      <c r="H5" s="8">
        <v>0</v>
      </c>
      <c r="I5" s="94">
        <v>73</v>
      </c>
      <c r="J5" s="15">
        <v>62</v>
      </c>
      <c r="K5" s="95">
        <f t="shared" si="1"/>
        <v>2.0857142857142859</v>
      </c>
      <c r="L5" s="98">
        <v>1.7714285714285714</v>
      </c>
      <c r="M5" s="98">
        <f>L5/L31</f>
        <v>1.0474855334329451E-2</v>
      </c>
      <c r="N5" s="99">
        <f>K5/K31</f>
        <v>1.1342527901467702E-2</v>
      </c>
      <c r="O5" s="77">
        <v>0</v>
      </c>
      <c r="P5" s="34">
        <v>0</v>
      </c>
      <c r="Q5" s="34">
        <f t="shared" si="2"/>
        <v>0</v>
      </c>
      <c r="R5" s="77">
        <f t="shared" si="3"/>
        <v>0</v>
      </c>
      <c r="S5" s="23">
        <f>R5/R31</f>
        <v>0</v>
      </c>
      <c r="T5" s="23">
        <f>Q5/Q31</f>
        <v>0</v>
      </c>
      <c r="U5" s="23">
        <f t="shared" si="4"/>
        <v>6.2849132005976709E-3</v>
      </c>
      <c r="V5" s="23">
        <f t="shared" si="5"/>
        <v>6.8055167408806209E-3</v>
      </c>
      <c r="W5" s="26">
        <f t="shared" si="6"/>
        <v>-0.47467815321282991</v>
      </c>
      <c r="X5" s="23">
        <v>-1.0089999999999999</v>
      </c>
      <c r="Y5" s="26">
        <f t="shared" si="7"/>
        <v>-0.50060868247294255</v>
      </c>
      <c r="Z5" s="61"/>
      <c r="AA5" s="61"/>
      <c r="AB5" s="61"/>
      <c r="AC5" s="61"/>
      <c r="AD5" s="36"/>
      <c r="AE5" s="60"/>
      <c r="AF5" s="36"/>
      <c r="AG5" s="36"/>
      <c r="AK5" s="80">
        <f>AH3/AC29</f>
        <v>38100.528373129746</v>
      </c>
      <c r="AM5" s="80">
        <f>AJ3/AE29</f>
        <v>37668.123248157761</v>
      </c>
      <c r="AP5">
        <v>150</v>
      </c>
      <c r="AQ5">
        <v>146</v>
      </c>
      <c r="AR5">
        <f t="shared" si="8"/>
        <v>4</v>
      </c>
      <c r="AS5">
        <v>214</v>
      </c>
      <c r="AT5" s="119">
        <v>200.66005999999999</v>
      </c>
      <c r="AU5">
        <f t="shared" si="9"/>
        <v>-64</v>
      </c>
      <c r="AV5" s="119">
        <f t="shared" si="10"/>
        <v>-54.660059999999987</v>
      </c>
      <c r="AW5" s="23">
        <v>-0.56413000000000002</v>
      </c>
      <c r="AX5" s="23">
        <f t="shared" si="11"/>
        <v>-0.56405043163892843</v>
      </c>
      <c r="AY5" s="23">
        <f t="shared" si="12"/>
        <v>-0.56299799957262497</v>
      </c>
      <c r="AZ5" s="34">
        <v>0</v>
      </c>
      <c r="BA5" s="77">
        <v>0</v>
      </c>
      <c r="BB5" s="119">
        <v>162482.76</v>
      </c>
      <c r="BC5" s="34">
        <v>186140.91</v>
      </c>
      <c r="BD5" s="119">
        <f t="shared" si="13"/>
        <v>-162482.76</v>
      </c>
      <c r="BE5" s="119">
        <f t="shared" si="14"/>
        <v>-186140.91</v>
      </c>
      <c r="BF5" s="23">
        <v>-0.34061999999999998</v>
      </c>
      <c r="BG5" s="23">
        <f t="shared" ref="BG5:BG28" si="16">(BD5-BD$30)/BD$31</f>
        <v>-0.34061973557368225</v>
      </c>
      <c r="BH5" s="23">
        <f t="shared" si="15"/>
        <v>-0.40702470682341885</v>
      </c>
    </row>
    <row r="6" spans="1:60" x14ac:dyDescent="0.25">
      <c r="A6" s="9" t="s">
        <v>3</v>
      </c>
      <c r="B6" s="9" t="s">
        <v>42</v>
      </c>
      <c r="C6" s="1">
        <f t="shared" si="0"/>
        <v>6</v>
      </c>
      <c r="D6" s="8">
        <v>0</v>
      </c>
      <c r="E6" s="8">
        <v>0</v>
      </c>
      <c r="F6" s="8">
        <v>0</v>
      </c>
      <c r="G6" s="8">
        <v>6</v>
      </c>
      <c r="H6" s="8">
        <v>0</v>
      </c>
      <c r="I6" s="94">
        <v>116</v>
      </c>
      <c r="J6" s="15">
        <v>119</v>
      </c>
      <c r="K6" s="95">
        <f t="shared" si="1"/>
        <v>19.333333333333332</v>
      </c>
      <c r="L6" s="98">
        <v>19.833333333333332</v>
      </c>
      <c r="M6" s="98">
        <f>L6/L31</f>
        <v>0.11727895824591979</v>
      </c>
      <c r="N6" s="99">
        <f>K6/K31</f>
        <v>0.1051385006391755</v>
      </c>
      <c r="O6" s="77">
        <v>87150</v>
      </c>
      <c r="P6" s="34">
        <v>115802</v>
      </c>
      <c r="Q6" s="34">
        <f t="shared" si="2"/>
        <v>14525</v>
      </c>
      <c r="R6" s="77">
        <f t="shared" si="3"/>
        <v>19300.333333333332</v>
      </c>
      <c r="S6" s="23">
        <f>R6/R31</f>
        <v>0.22619933447719517</v>
      </c>
      <c r="T6" s="23">
        <f>Q6/Q31</f>
        <v>0.1086877983193299</v>
      </c>
      <c r="U6" s="23">
        <f t="shared" si="4"/>
        <v>0.16084710873842994</v>
      </c>
      <c r="V6" s="23">
        <f t="shared" si="5"/>
        <v>0.10655821971123726</v>
      </c>
      <c r="W6" s="26">
        <f t="shared" si="6"/>
        <v>-0.18105009242463146</v>
      </c>
      <c r="X6" s="26">
        <v>-4.0000000000000001E-3</v>
      </c>
      <c r="Y6" s="26">
        <f t="shared" si="7"/>
        <v>-0.20298082729419512</v>
      </c>
      <c r="Z6" s="70"/>
      <c r="AA6" s="70"/>
      <c r="AB6" s="70"/>
      <c r="AC6" s="70"/>
      <c r="AD6" s="74"/>
      <c r="AE6" s="60"/>
      <c r="AF6" s="74"/>
      <c r="AG6" s="74"/>
      <c r="AK6" s="39"/>
      <c r="AP6">
        <v>232</v>
      </c>
      <c r="AQ6">
        <v>232</v>
      </c>
      <c r="AR6">
        <f t="shared" si="8"/>
        <v>0</v>
      </c>
      <c r="AS6">
        <v>37</v>
      </c>
      <c r="AT6" s="119">
        <v>34.398870000000002</v>
      </c>
      <c r="AU6">
        <f t="shared" si="9"/>
        <v>195</v>
      </c>
      <c r="AV6" s="119">
        <f t="shared" si="10"/>
        <v>197.60113000000001</v>
      </c>
      <c r="AW6" s="23">
        <v>-0.40533999999999998</v>
      </c>
      <c r="AX6" s="23">
        <f t="shared" si="11"/>
        <v>-0.40548777411959147</v>
      </c>
      <c r="AY6" s="23">
        <f t="shared" si="12"/>
        <v>-0.41152988654800082</v>
      </c>
      <c r="AZ6" s="34">
        <v>87150</v>
      </c>
      <c r="BA6" s="77">
        <v>87149.57</v>
      </c>
      <c r="BB6" s="119">
        <v>31854.2</v>
      </c>
      <c r="BC6" s="34">
        <v>46431.81</v>
      </c>
      <c r="BD6" s="119">
        <f t="shared" si="13"/>
        <v>55295.8</v>
      </c>
      <c r="BE6" s="119">
        <f t="shared" si="14"/>
        <v>40717.760000000009</v>
      </c>
      <c r="BF6" s="23">
        <v>0.15561</v>
      </c>
      <c r="BG6" s="23">
        <f t="shared" si="16"/>
        <v>0.1556064301178085</v>
      </c>
      <c r="BH6" s="23">
        <f t="shared" si="15"/>
        <v>0.10984276158651342</v>
      </c>
    </row>
    <row r="7" spans="1:60" x14ac:dyDescent="0.25">
      <c r="A7" s="9" t="s">
        <v>43</v>
      </c>
      <c r="B7" s="9" t="s">
        <v>47</v>
      </c>
      <c r="C7" s="10">
        <f t="shared" si="0"/>
        <v>56</v>
      </c>
      <c r="D7">
        <v>4</v>
      </c>
      <c r="E7">
        <v>12</v>
      </c>
      <c r="F7">
        <v>0</v>
      </c>
      <c r="G7">
        <v>0</v>
      </c>
      <c r="H7">
        <v>40</v>
      </c>
      <c r="I7" s="94">
        <v>558</v>
      </c>
      <c r="J7" s="15">
        <v>590</v>
      </c>
      <c r="K7" s="95">
        <f t="shared" si="1"/>
        <v>9.9642857142857135</v>
      </c>
      <c r="L7" s="98">
        <v>10.535714285714286</v>
      </c>
      <c r="M7" s="98">
        <f>L7/L31</f>
        <v>6.2300046847322349E-2</v>
      </c>
      <c r="N7" s="99">
        <f>K7/K31</f>
        <v>5.4187761721052892E-2</v>
      </c>
      <c r="O7" s="77">
        <v>82320</v>
      </c>
      <c r="P7" s="34">
        <v>96000</v>
      </c>
      <c r="Q7" s="34">
        <f t="shared" si="2"/>
        <v>1470</v>
      </c>
      <c r="R7" s="77">
        <f t="shared" si="3"/>
        <v>1714.2857142857142</v>
      </c>
      <c r="S7" s="23">
        <f>R7/R31</f>
        <v>2.0091377748667125E-2</v>
      </c>
      <c r="T7" s="23">
        <f>Q7/Q31</f>
        <v>1.0999728986534592E-2</v>
      </c>
      <c r="U7" s="23">
        <f t="shared" si="4"/>
        <v>4.5416579207860255E-2</v>
      </c>
      <c r="V7" s="23">
        <f t="shared" si="5"/>
        <v>3.6912548627245564E-2</v>
      </c>
      <c r="W7" s="26">
        <f t="shared" si="6"/>
        <v>-0.17272809985711521</v>
      </c>
      <c r="X7" s="27">
        <v>9.2999999999999999E-2</v>
      </c>
      <c r="Y7" s="26">
        <f t="shared" si="7"/>
        <v>-0.19512971881917313</v>
      </c>
      <c r="Z7" s="70"/>
      <c r="AA7" s="70"/>
      <c r="AB7" s="70"/>
      <c r="AC7" s="70"/>
      <c r="AD7" s="74">
        <f>X7/AL2</f>
        <v>1.6332982086406742E-2</v>
      </c>
      <c r="AE7" s="60"/>
      <c r="AF7" s="74"/>
      <c r="AG7" s="74"/>
      <c r="AH7" s="37"/>
      <c r="AP7">
        <v>1116</v>
      </c>
      <c r="AQ7">
        <v>1122</v>
      </c>
      <c r="AR7">
        <f t="shared" si="8"/>
        <v>-6</v>
      </c>
      <c r="AS7">
        <v>343</v>
      </c>
      <c r="AT7" s="119">
        <v>321.05610000000001</v>
      </c>
      <c r="AU7">
        <f t="shared" si="9"/>
        <v>773</v>
      </c>
      <c r="AV7" s="119">
        <f t="shared" si="10"/>
        <v>800.94389999999999</v>
      </c>
      <c r="AW7" s="23">
        <v>-5.1389999999999998E-2</v>
      </c>
      <c r="AX7" s="23">
        <f t="shared" si="11"/>
        <v>-5.1629797107325959E-2</v>
      </c>
      <c r="AY7" s="23">
        <f t="shared" si="12"/>
        <v>-4.9257787225271875E-2</v>
      </c>
      <c r="AZ7" s="34">
        <v>82320</v>
      </c>
      <c r="BA7" s="77">
        <v>80320</v>
      </c>
      <c r="BB7" s="119">
        <v>250839.77</v>
      </c>
      <c r="BC7" s="34">
        <v>269495.06</v>
      </c>
      <c r="BD7" s="119">
        <f t="shared" si="13"/>
        <v>-168519.77</v>
      </c>
      <c r="BE7" s="119">
        <f t="shared" si="14"/>
        <v>-189175.06</v>
      </c>
      <c r="BF7" s="23">
        <v>-0.35437999999999997</v>
      </c>
      <c r="BG7" s="23">
        <f t="shared" si="16"/>
        <v>-0.35437555398179904</v>
      </c>
      <c r="BH7" s="23">
        <f t="shared" si="15"/>
        <v>-0.41393761621002501</v>
      </c>
    </row>
    <row r="8" spans="1:60" x14ac:dyDescent="0.25">
      <c r="A8" s="7" t="s">
        <v>43</v>
      </c>
      <c r="B8" s="7" t="s">
        <v>48</v>
      </c>
      <c r="C8" s="10">
        <f t="shared" si="0"/>
        <v>10</v>
      </c>
      <c r="D8">
        <v>3</v>
      </c>
      <c r="E8">
        <v>0</v>
      </c>
      <c r="F8">
        <v>0</v>
      </c>
      <c r="G8">
        <v>0</v>
      </c>
      <c r="H8">
        <v>7</v>
      </c>
      <c r="I8" s="94">
        <v>16.5</v>
      </c>
      <c r="J8" s="15">
        <v>23.5</v>
      </c>
      <c r="K8" s="95">
        <f t="shared" si="1"/>
        <v>1.65</v>
      </c>
      <c r="L8" s="98">
        <v>2.35</v>
      </c>
      <c r="M8" s="98">
        <f>L8/L31</f>
        <v>1.3896078245945119E-2</v>
      </c>
      <c r="N8" s="99">
        <f>K8/K31</f>
        <v>8.9730272097227372E-3</v>
      </c>
      <c r="O8" s="77">
        <v>0</v>
      </c>
      <c r="P8" s="34">
        <v>0</v>
      </c>
      <c r="Q8" s="34">
        <f t="shared" si="2"/>
        <v>0</v>
      </c>
      <c r="R8" s="77">
        <f t="shared" si="3"/>
        <v>0</v>
      </c>
      <c r="S8" s="23">
        <f>R8/R31</f>
        <v>0</v>
      </c>
      <c r="T8" s="23">
        <f>Q8/Q31</f>
        <v>0</v>
      </c>
      <c r="U8" s="23">
        <f t="shared" si="4"/>
        <v>8.3376469475670706E-3</v>
      </c>
      <c r="V8" s="23">
        <f t="shared" si="5"/>
        <v>5.3838163258336418E-3</v>
      </c>
      <c r="W8" s="26">
        <f t="shared" si="6"/>
        <v>-0.35990595350473964</v>
      </c>
      <c r="X8" s="23">
        <v>-0.36499999999999999</v>
      </c>
      <c r="Y8" s="26">
        <f t="shared" si="7"/>
        <v>-0.38330883083269879</v>
      </c>
      <c r="Z8" s="37"/>
      <c r="AA8" s="37"/>
      <c r="AB8" s="37"/>
      <c r="AC8" s="37"/>
      <c r="AD8" s="36"/>
      <c r="AE8" s="60"/>
      <c r="AF8" s="36"/>
      <c r="AG8" s="36"/>
      <c r="AP8">
        <v>33</v>
      </c>
      <c r="AQ8">
        <v>33</v>
      </c>
      <c r="AR8">
        <f t="shared" si="8"/>
        <v>0</v>
      </c>
      <c r="AS8">
        <v>61</v>
      </c>
      <c r="AT8" s="119">
        <v>57.331449999999997</v>
      </c>
      <c r="AU8">
        <f t="shared" si="9"/>
        <v>-28</v>
      </c>
      <c r="AV8" s="119">
        <f t="shared" si="10"/>
        <v>-24.331449999999997</v>
      </c>
      <c r="AW8" s="23">
        <v>-0.54215000000000002</v>
      </c>
      <c r="AX8" s="23">
        <f t="shared" si="11"/>
        <v>-0.54201083445477349</v>
      </c>
      <c r="AY8" s="23">
        <f t="shared" si="12"/>
        <v>-0.54478744040036486</v>
      </c>
      <c r="AZ8" s="34">
        <v>0</v>
      </c>
      <c r="BA8" s="77">
        <v>0</v>
      </c>
      <c r="BB8" s="119">
        <v>51066.46</v>
      </c>
      <c r="BC8" s="34">
        <v>69419.72</v>
      </c>
      <c r="BD8" s="119">
        <f t="shared" si="13"/>
        <v>-51066.46</v>
      </c>
      <c r="BE8" s="119">
        <f t="shared" si="14"/>
        <v>-69419.72</v>
      </c>
      <c r="BF8" s="23">
        <v>-8.6749999999999994E-2</v>
      </c>
      <c r="BG8" s="23">
        <f t="shared" si="16"/>
        <v>-8.6748632079688873E-2</v>
      </c>
      <c r="BH8" s="23">
        <f t="shared" si="15"/>
        <v>-0.14109091648119959</v>
      </c>
    </row>
    <row r="9" spans="1:60" x14ac:dyDescent="0.25">
      <c r="A9" s="9" t="s">
        <v>43</v>
      </c>
      <c r="B9" s="9" t="s">
        <v>49</v>
      </c>
      <c r="C9" s="10">
        <f t="shared" si="0"/>
        <v>23</v>
      </c>
      <c r="D9">
        <v>10</v>
      </c>
      <c r="E9">
        <v>1</v>
      </c>
      <c r="F9">
        <v>0</v>
      </c>
      <c r="G9">
        <v>0</v>
      </c>
      <c r="H9">
        <v>12</v>
      </c>
      <c r="I9" s="94">
        <v>84.5</v>
      </c>
      <c r="J9" s="15">
        <v>116.5</v>
      </c>
      <c r="K9" s="95">
        <f t="shared" si="1"/>
        <v>3.6739130434782608</v>
      </c>
      <c r="L9" s="98">
        <v>5.0652173913043477</v>
      </c>
      <c r="M9" s="98">
        <f>L9/L31</f>
        <v>2.9951769022249886E-2</v>
      </c>
      <c r="N9" s="99">
        <f>K9/K31</f>
        <v>1.9979467700173156E-2</v>
      </c>
      <c r="O9" s="77">
        <v>269015</v>
      </c>
      <c r="P9" s="34">
        <v>32226</v>
      </c>
      <c r="Q9" s="34">
        <f t="shared" si="2"/>
        <v>11696.304347826086</v>
      </c>
      <c r="R9" s="77">
        <f t="shared" si="3"/>
        <v>1401.1304347826087</v>
      </c>
      <c r="S9" s="23">
        <f>R9/R31</f>
        <v>1.6421207156883433E-2</v>
      </c>
      <c r="T9" s="23">
        <f>Q9/Q31</f>
        <v>8.7521209503478359E-2</v>
      </c>
      <c r="U9" s="23">
        <f t="shared" si="4"/>
        <v>2.4539544276103303E-2</v>
      </c>
      <c r="V9" s="23">
        <f t="shared" si="5"/>
        <v>4.6996164421495235E-2</v>
      </c>
      <c r="W9" s="26">
        <f t="shared" si="6"/>
        <v>-0.14807969231567897</v>
      </c>
      <c r="X9" s="23">
        <v>-0.25900000000000001</v>
      </c>
      <c r="Y9" s="26">
        <f t="shared" si="7"/>
        <v>-0.17462043620488543</v>
      </c>
      <c r="Z9" s="141"/>
      <c r="AA9" s="141"/>
      <c r="AB9" s="141"/>
      <c r="AC9" s="141"/>
      <c r="AD9" s="36"/>
      <c r="AE9" s="60"/>
      <c r="AF9" s="36"/>
      <c r="AG9" s="36"/>
      <c r="AP9">
        <v>169</v>
      </c>
      <c r="AQ9">
        <v>169</v>
      </c>
      <c r="AR9">
        <f t="shared" si="8"/>
        <v>0</v>
      </c>
      <c r="AS9">
        <v>141</v>
      </c>
      <c r="AT9" s="119">
        <v>131.86232999999999</v>
      </c>
      <c r="AU9">
        <f t="shared" si="9"/>
        <v>28</v>
      </c>
      <c r="AV9" s="119">
        <f t="shared" si="10"/>
        <v>37.137670000000014</v>
      </c>
      <c r="AW9" s="23">
        <v>-0.50756999999999997</v>
      </c>
      <c r="AX9" s="23">
        <f t="shared" si="11"/>
        <v>-0.50772701661275466</v>
      </c>
      <c r="AY9" s="23">
        <f t="shared" si="12"/>
        <v>-0.50787882351924984</v>
      </c>
      <c r="AZ9" s="34">
        <v>269015</v>
      </c>
      <c r="BA9" s="77">
        <v>269015.78000000003</v>
      </c>
      <c r="BB9" s="119">
        <v>110240.4</v>
      </c>
      <c r="BC9" s="34">
        <v>133745.95000000001</v>
      </c>
      <c r="BD9" s="119">
        <f t="shared" si="13"/>
        <v>158774.6</v>
      </c>
      <c r="BE9" s="119">
        <f t="shared" si="14"/>
        <v>135269.83000000002</v>
      </c>
      <c r="BF9" s="23">
        <v>0.39139000000000002</v>
      </c>
      <c r="BG9" s="23">
        <f t="shared" si="16"/>
        <v>0.39139129412993451</v>
      </c>
      <c r="BH9" s="23">
        <f t="shared" si="15"/>
        <v>0.32526714476666119</v>
      </c>
    </row>
    <row r="10" spans="1:60" x14ac:dyDescent="0.25">
      <c r="A10" s="9" t="s">
        <v>43</v>
      </c>
      <c r="B10" s="9" t="s">
        <v>50</v>
      </c>
      <c r="C10" s="10">
        <f t="shared" si="0"/>
        <v>224</v>
      </c>
      <c r="D10">
        <v>0</v>
      </c>
      <c r="E10">
        <v>0</v>
      </c>
      <c r="F10">
        <v>224</v>
      </c>
      <c r="G10">
        <v>0</v>
      </c>
      <c r="H10">
        <v>0</v>
      </c>
      <c r="I10" s="94">
        <v>2028</v>
      </c>
      <c r="J10" s="15">
        <v>1960.5</v>
      </c>
      <c r="K10" s="95">
        <f t="shared" si="1"/>
        <v>9.0535714285714288</v>
      </c>
      <c r="L10" s="98">
        <v>8.7522321428571423</v>
      </c>
      <c r="M10" s="98">
        <f>L10/L31</f>
        <v>5.1753916035667563E-2</v>
      </c>
      <c r="N10" s="99">
        <f>K10/K31</f>
        <v>4.9235116832569564E-2</v>
      </c>
      <c r="O10" s="77">
        <v>233645</v>
      </c>
      <c r="P10" s="34">
        <v>207193</v>
      </c>
      <c r="Q10" s="34">
        <f t="shared" si="2"/>
        <v>1043.0580357142858</v>
      </c>
      <c r="R10" s="77">
        <f t="shared" si="3"/>
        <v>924.96875</v>
      </c>
      <c r="S10" s="23">
        <f>R10/R31</f>
        <v>1.0840606327811426E-2</v>
      </c>
      <c r="T10" s="23">
        <f>Q10/Q31</f>
        <v>7.8050038844110639E-3</v>
      </c>
      <c r="U10" s="23">
        <f t="shared" si="4"/>
        <v>3.5388592152525107E-2</v>
      </c>
      <c r="V10" s="23">
        <f t="shared" si="5"/>
        <v>3.2663071653306161E-2</v>
      </c>
      <c r="W10" s="25">
        <f t="shared" si="6"/>
        <v>7.3566520848336925E-2</v>
      </c>
      <c r="X10" s="27">
        <v>0.55800000000000005</v>
      </c>
      <c r="Y10" s="25">
        <f t="shared" si="7"/>
        <v>0.12261170534507915</v>
      </c>
      <c r="Z10" s="67">
        <f>AC10*AK$5</f>
        <v>102831.27948939546</v>
      </c>
      <c r="AA10" s="67">
        <f>(AE10*AM$5)</f>
        <v>161355.39767464454</v>
      </c>
      <c r="AB10" s="147">
        <f>AA10-Z10</f>
        <v>58524.118185249084</v>
      </c>
      <c r="AC10" s="67">
        <f>C10*AF10</f>
        <v>2.6989462844803178</v>
      </c>
      <c r="AD10" s="36">
        <f>X10/AL2</f>
        <v>9.7997892518440474E-2</v>
      </c>
      <c r="AE10" s="241">
        <f>C10*AG10</f>
        <v>4.2836059713311032</v>
      </c>
      <c r="AF10" s="74">
        <f>W10/AN$2</f>
        <v>1.204886734142999E-2</v>
      </c>
      <c r="AG10" s="74">
        <f>Y10/AO$2</f>
        <v>1.9123240943442425E-2</v>
      </c>
      <c r="AP10">
        <v>4056</v>
      </c>
      <c r="AQ10">
        <v>4095</v>
      </c>
      <c r="AR10">
        <f t="shared" si="8"/>
        <v>-39</v>
      </c>
      <c r="AS10">
        <v>1370</v>
      </c>
      <c r="AT10" s="119">
        <v>1284.2243800000001</v>
      </c>
      <c r="AU10">
        <f t="shared" si="9"/>
        <v>2686</v>
      </c>
      <c r="AV10" s="119">
        <f t="shared" si="10"/>
        <v>2810.7756199999999</v>
      </c>
      <c r="AW10" s="23">
        <v>1.11937</v>
      </c>
      <c r="AX10" s="23">
        <f t="shared" si="11"/>
        <v>1.119529908817352</v>
      </c>
      <c r="AY10" s="23">
        <f t="shared" si="12"/>
        <v>1.1575287903114262</v>
      </c>
      <c r="AZ10" s="34">
        <v>233645</v>
      </c>
      <c r="BA10" s="77">
        <v>167695.71000000002</v>
      </c>
      <c r="BB10" s="119">
        <v>902916.26</v>
      </c>
      <c r="BC10" s="34">
        <v>802727.82</v>
      </c>
      <c r="BD10" s="119">
        <f t="shared" si="13"/>
        <v>-669271.26</v>
      </c>
      <c r="BE10" s="119">
        <f t="shared" si="14"/>
        <v>-635032.10999999987</v>
      </c>
      <c r="BF10" s="23">
        <v>-1.4953799999999999</v>
      </c>
      <c r="BG10" s="23">
        <f t="shared" si="16"/>
        <v>-1.4953785611051855</v>
      </c>
      <c r="BH10" s="23">
        <f t="shared" si="15"/>
        <v>-1.4297639221044414</v>
      </c>
    </row>
    <row r="11" spans="1:60" x14ac:dyDescent="0.25">
      <c r="A11" s="7" t="s">
        <v>60</v>
      </c>
      <c r="B11" s="7" t="s">
        <v>63</v>
      </c>
      <c r="C11" s="10">
        <f t="shared" si="0"/>
        <v>26</v>
      </c>
      <c r="D11">
        <v>0</v>
      </c>
      <c r="E11">
        <v>0</v>
      </c>
      <c r="F11" s="8">
        <v>12</v>
      </c>
      <c r="G11" s="8">
        <v>14</v>
      </c>
      <c r="H11">
        <v>0</v>
      </c>
      <c r="I11" s="94">
        <v>98.5</v>
      </c>
      <c r="J11" s="15">
        <v>78.5</v>
      </c>
      <c r="K11" s="95">
        <f t="shared" si="1"/>
        <v>3.7884615384615383</v>
      </c>
      <c r="L11" s="98">
        <v>3.0192307692307692</v>
      </c>
      <c r="M11" s="98">
        <f>L11/L31</f>
        <v>1.7853390217785464E-2</v>
      </c>
      <c r="N11" s="99">
        <f>K11/K31</f>
        <v>2.0602405131880875E-2</v>
      </c>
      <c r="O11" s="77">
        <v>68400</v>
      </c>
      <c r="P11" s="34">
        <v>35000</v>
      </c>
      <c r="Q11" s="34">
        <f t="shared" si="2"/>
        <v>2630.7692307692309</v>
      </c>
      <c r="R11" s="77">
        <f t="shared" si="3"/>
        <v>1346.1538461538462</v>
      </c>
      <c r="S11" s="23">
        <f>R11/R31</f>
        <v>1.5776883168023864E-2</v>
      </c>
      <c r="T11" s="23">
        <f>Q11/Q31</f>
        <v>1.9685543241207908E-2</v>
      </c>
      <c r="U11" s="23">
        <f t="shared" si="4"/>
        <v>1.7022787397880823E-2</v>
      </c>
      <c r="V11" s="23">
        <f t="shared" si="5"/>
        <v>2.023566037561169E-2</v>
      </c>
      <c r="W11" s="26">
        <f t="shared" si="6"/>
        <v>-0.33930449926393069</v>
      </c>
      <c r="X11" s="23">
        <v>-0.318</v>
      </c>
      <c r="Y11" s="26">
        <f t="shared" si="7"/>
        <v>-0.36591225526275722</v>
      </c>
      <c r="Z11" s="37"/>
      <c r="AA11" s="37"/>
      <c r="AB11" s="37"/>
      <c r="AC11" s="37"/>
      <c r="AD11" s="36"/>
      <c r="AE11" s="60"/>
      <c r="AF11" s="36"/>
      <c r="AG11" s="36"/>
      <c r="AP11">
        <v>197</v>
      </c>
      <c r="AQ11">
        <v>197</v>
      </c>
      <c r="AR11">
        <f t="shared" si="8"/>
        <v>0</v>
      </c>
      <c r="AS11">
        <v>159</v>
      </c>
      <c r="AT11" s="119">
        <v>149.06175999999999</v>
      </c>
      <c r="AU11">
        <f t="shared" si="9"/>
        <v>38</v>
      </c>
      <c r="AV11" s="119">
        <f t="shared" si="10"/>
        <v>47.938240000000008</v>
      </c>
      <c r="AW11" s="23">
        <v>-0.50165999999999999</v>
      </c>
      <c r="AX11" s="23">
        <f t="shared" si="11"/>
        <v>-0.5016049062838227</v>
      </c>
      <c r="AY11" s="23">
        <f t="shared" si="12"/>
        <v>-0.5013937119668529</v>
      </c>
      <c r="AZ11" s="34">
        <v>68400</v>
      </c>
      <c r="BA11" s="77">
        <v>68400</v>
      </c>
      <c r="BB11" s="119">
        <v>123462.48</v>
      </c>
      <c r="BC11" s="34">
        <v>147299.82</v>
      </c>
      <c r="BD11" s="119">
        <f t="shared" si="13"/>
        <v>-55062.479999999996</v>
      </c>
      <c r="BE11" s="119">
        <f t="shared" si="14"/>
        <v>-78899.820000000007</v>
      </c>
      <c r="BF11" s="23">
        <v>-9.5850000000000005E-2</v>
      </c>
      <c r="BG11" s="23">
        <f t="shared" si="16"/>
        <v>-9.5853888734092826E-2</v>
      </c>
      <c r="BH11" s="23">
        <f t="shared" si="15"/>
        <v>-0.16269007020661375</v>
      </c>
    </row>
    <row r="12" spans="1:60" x14ac:dyDescent="0.25">
      <c r="A12" s="9" t="s">
        <v>60</v>
      </c>
      <c r="B12" s="9" t="s">
        <v>67</v>
      </c>
      <c r="C12" s="32">
        <f t="shared" si="0"/>
        <v>3</v>
      </c>
      <c r="D12">
        <v>0</v>
      </c>
      <c r="E12">
        <v>0</v>
      </c>
      <c r="F12" s="8">
        <v>3</v>
      </c>
      <c r="G12" s="8">
        <v>0</v>
      </c>
      <c r="H12">
        <v>0</v>
      </c>
      <c r="I12" s="94">
        <v>0</v>
      </c>
      <c r="J12" s="15">
        <v>0</v>
      </c>
      <c r="K12" s="95">
        <f t="shared" si="1"/>
        <v>0</v>
      </c>
      <c r="L12" s="98">
        <v>0</v>
      </c>
      <c r="M12" s="98">
        <v>0</v>
      </c>
      <c r="N12" s="99">
        <v>0</v>
      </c>
      <c r="O12" s="77">
        <v>0</v>
      </c>
      <c r="P12" s="34">
        <v>0</v>
      </c>
      <c r="Q12" s="34">
        <f t="shared" si="2"/>
        <v>0</v>
      </c>
      <c r="R12" s="77">
        <f t="shared" si="3"/>
        <v>0</v>
      </c>
      <c r="S12" s="23">
        <v>0</v>
      </c>
      <c r="T12" s="23">
        <v>0</v>
      </c>
      <c r="U12" s="23">
        <f t="shared" si="4"/>
        <v>0</v>
      </c>
      <c r="V12" s="23">
        <f t="shared" si="5"/>
        <v>0</v>
      </c>
      <c r="W12" s="23"/>
      <c r="X12" s="23"/>
      <c r="Y12" s="26"/>
      <c r="Z12" s="37"/>
      <c r="AA12" s="37"/>
      <c r="AB12" s="37"/>
      <c r="AC12" s="37"/>
      <c r="AD12" s="36"/>
      <c r="AE12" s="60"/>
      <c r="AF12" s="36"/>
      <c r="AG12" s="36"/>
      <c r="AZ12" s="34"/>
      <c r="BA12" s="77">
        <v>0</v>
      </c>
      <c r="BB12" s="119"/>
      <c r="BD12" s="119"/>
      <c r="BE12" s="119"/>
      <c r="BG12" s="23"/>
      <c r="BH12" s="23"/>
    </row>
    <row r="13" spans="1:60" x14ac:dyDescent="0.25">
      <c r="A13" s="9" t="s">
        <v>80</v>
      </c>
      <c r="B13" s="9" t="s">
        <v>81</v>
      </c>
      <c r="C13" s="10">
        <f t="shared" si="0"/>
        <v>28</v>
      </c>
      <c r="D13">
        <v>0</v>
      </c>
      <c r="E13">
        <v>0</v>
      </c>
      <c r="F13">
        <v>0</v>
      </c>
      <c r="G13">
        <v>28</v>
      </c>
      <c r="H13">
        <v>0</v>
      </c>
      <c r="I13" s="94">
        <v>111.5</v>
      </c>
      <c r="J13" s="15">
        <v>120</v>
      </c>
      <c r="K13" s="95">
        <f>I13/C13</f>
        <v>3.9821428571428572</v>
      </c>
      <c r="L13" s="98">
        <v>4.2857142857142856</v>
      </c>
      <c r="M13" s="98">
        <f>L13/L31</f>
        <v>2.5342391937893834E-2</v>
      </c>
      <c r="N13" s="99">
        <f>K13/K31</f>
        <v>2.1655682551603574E-2</v>
      </c>
      <c r="O13" s="77">
        <v>5912</v>
      </c>
      <c r="P13" s="34">
        <v>160321</v>
      </c>
      <c r="Q13" s="34">
        <f t="shared" si="2"/>
        <v>211.14285714285714</v>
      </c>
      <c r="R13" s="77">
        <f t="shared" si="3"/>
        <v>5725.75</v>
      </c>
      <c r="S13" s="23">
        <f>R13/R31</f>
        <v>6.7105620250917958E-2</v>
      </c>
      <c r="T13" s="23">
        <f>Q13/Q31</f>
        <v>1.5799416367442301E-3</v>
      </c>
      <c r="U13" s="23">
        <f t="shared" si="4"/>
        <v>4.2047683263103486E-2</v>
      </c>
      <c r="V13" s="23">
        <f t="shared" si="5"/>
        <v>1.3625386185659838E-2</v>
      </c>
      <c r="W13" s="26">
        <f>(0.6*AX13)+(0.4*BG13)</f>
        <v>-0.39909011132851197</v>
      </c>
      <c r="X13" s="23">
        <v>-0.16800000000000001</v>
      </c>
      <c r="Y13" s="26">
        <f>(0.6*AY13)+(0.4*BH13)</f>
        <v>-0.42569012933557171</v>
      </c>
      <c r="Z13" s="37"/>
      <c r="AA13" s="37"/>
      <c r="AB13" s="37"/>
      <c r="AC13" s="37"/>
      <c r="AD13" s="36"/>
      <c r="AE13" s="60"/>
      <c r="AF13" s="36"/>
      <c r="AG13" s="36"/>
      <c r="AP13">
        <v>223</v>
      </c>
      <c r="AQ13">
        <v>223</v>
      </c>
      <c r="AR13">
        <f t="shared" si="8"/>
        <v>0</v>
      </c>
      <c r="AS13">
        <v>171</v>
      </c>
      <c r="AT13" s="119">
        <v>160.52805000000001</v>
      </c>
      <c r="AU13">
        <f t="shared" si="9"/>
        <v>52</v>
      </c>
      <c r="AV13" s="119">
        <f t="shared" si="10"/>
        <v>62.471949999999993</v>
      </c>
      <c r="AW13" s="23">
        <v>-0.49323</v>
      </c>
      <c r="AX13" s="23">
        <f t="shared" si="11"/>
        <v>-0.49303395182331805</v>
      </c>
      <c r="AY13" s="23">
        <f t="shared" si="12"/>
        <v>-0.49266706785268266</v>
      </c>
      <c r="AZ13" s="34">
        <v>5912</v>
      </c>
      <c r="BA13" s="77">
        <v>5912</v>
      </c>
      <c r="BB13" s="119">
        <v>132211.99</v>
      </c>
      <c r="BC13" s="34">
        <v>156150.01999999999</v>
      </c>
      <c r="BD13" s="119">
        <f t="shared" si="13"/>
        <v>-126299.98999999999</v>
      </c>
      <c r="BE13" s="119">
        <f t="shared" si="14"/>
        <v>-150238.01999999999</v>
      </c>
      <c r="BF13" s="23">
        <v>-0.25817000000000001</v>
      </c>
      <c r="BG13" s="23">
        <f t="shared" si="16"/>
        <v>-0.25817435058630278</v>
      </c>
      <c r="BH13" s="23">
        <f t="shared" si="15"/>
        <v>-0.32522472155990528</v>
      </c>
    </row>
    <row r="14" spans="1:60" x14ac:dyDescent="0.25">
      <c r="A14" s="9" t="s">
        <v>83</v>
      </c>
      <c r="B14" s="9" t="s">
        <v>90</v>
      </c>
      <c r="C14" s="10">
        <f t="shared" si="0"/>
        <v>11</v>
      </c>
      <c r="D14">
        <v>0</v>
      </c>
      <c r="E14">
        <v>0</v>
      </c>
      <c r="F14">
        <v>11</v>
      </c>
      <c r="G14">
        <v>0</v>
      </c>
      <c r="H14">
        <v>0</v>
      </c>
      <c r="I14" s="94">
        <v>38</v>
      </c>
      <c r="J14" s="15">
        <v>16</v>
      </c>
      <c r="K14" s="95">
        <f>I14/C14</f>
        <v>3.4545454545454546</v>
      </c>
      <c r="L14" s="98">
        <v>1.4545454545454546</v>
      </c>
      <c r="M14" s="98">
        <f>L14/L31</f>
        <v>8.6010542334669978E-3</v>
      </c>
      <c r="N14" s="99">
        <f>K14/K31</f>
        <v>1.878650324900628E-2</v>
      </c>
      <c r="O14" s="77">
        <v>0</v>
      </c>
      <c r="P14" s="34">
        <v>0</v>
      </c>
      <c r="Q14" s="34">
        <f t="shared" si="2"/>
        <v>0</v>
      </c>
      <c r="R14" s="77">
        <f t="shared" si="3"/>
        <v>0</v>
      </c>
      <c r="S14" s="23">
        <f>R14/R31</f>
        <v>0</v>
      </c>
      <c r="T14" s="23">
        <f>Q14/Q31</f>
        <v>0</v>
      </c>
      <c r="U14" s="23">
        <f t="shared" si="4"/>
        <v>5.1606325400801985E-3</v>
      </c>
      <c r="V14" s="23">
        <f t="shared" si="5"/>
        <v>1.1271901949403768E-2</v>
      </c>
      <c r="W14" s="26">
        <f>(0.6*AX14)+(0.4*BG14)</f>
        <v>-0.35059929420508873</v>
      </c>
      <c r="X14" s="23">
        <v>-0.374</v>
      </c>
      <c r="Y14" s="26">
        <f>(0.6*AY14)+(0.4*BH14)</f>
        <v>-0.36904877101755773</v>
      </c>
      <c r="Z14" s="37"/>
      <c r="AA14" s="37"/>
      <c r="AB14" s="37"/>
      <c r="AC14" s="37"/>
      <c r="AD14" s="36"/>
      <c r="AE14" s="60"/>
      <c r="AF14" s="36"/>
      <c r="AG14" s="36"/>
      <c r="AP14">
        <v>76</v>
      </c>
      <c r="AQ14">
        <v>92</v>
      </c>
      <c r="AR14">
        <f t="shared" si="8"/>
        <v>-16</v>
      </c>
      <c r="AS14">
        <v>67</v>
      </c>
      <c r="AT14" s="119">
        <v>63.064590000000003</v>
      </c>
      <c r="AU14">
        <f t="shared" si="9"/>
        <v>9</v>
      </c>
      <c r="AV14" s="119">
        <f t="shared" si="10"/>
        <v>28.935409999999997</v>
      </c>
      <c r="AW14" s="23">
        <v>-0.51956999999999998</v>
      </c>
      <c r="AX14" s="23">
        <f t="shared" si="11"/>
        <v>-0.51935902623772534</v>
      </c>
      <c r="AY14" s="23">
        <f t="shared" si="12"/>
        <v>-0.51280380165297434</v>
      </c>
      <c r="AZ14" s="34">
        <v>0</v>
      </c>
      <c r="BA14" s="77">
        <v>0</v>
      </c>
      <c r="BB14" s="119">
        <v>55767.22</v>
      </c>
      <c r="BC14" s="34">
        <v>74829.429999999993</v>
      </c>
      <c r="BD14" s="119">
        <f t="shared" si="13"/>
        <v>-55767.22</v>
      </c>
      <c r="BE14" s="119">
        <f t="shared" si="14"/>
        <v>-74829.429999999993</v>
      </c>
      <c r="BF14" s="23">
        <v>-9.7460000000000005E-2</v>
      </c>
      <c r="BG14" s="23">
        <f t="shared" si="16"/>
        <v>-9.7459696156133924E-2</v>
      </c>
      <c r="BH14" s="23">
        <f t="shared" si="15"/>
        <v>-0.15341622506443289</v>
      </c>
    </row>
    <row r="15" spans="1:60" x14ac:dyDescent="0.25">
      <c r="A15" s="7" t="s">
        <v>92</v>
      </c>
      <c r="B15" s="7" t="s">
        <v>95</v>
      </c>
      <c r="C15" s="32">
        <f t="shared" si="0"/>
        <v>1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00">
        <v>0</v>
      </c>
      <c r="J15" s="38">
        <v>0</v>
      </c>
      <c r="K15" s="95">
        <v>0</v>
      </c>
      <c r="L15" s="98">
        <v>0</v>
      </c>
      <c r="M15" s="98">
        <v>0</v>
      </c>
      <c r="N15" s="99">
        <v>0</v>
      </c>
      <c r="O15" s="77">
        <v>0</v>
      </c>
      <c r="P15" s="34">
        <v>0</v>
      </c>
      <c r="Q15" s="34">
        <f t="shared" si="2"/>
        <v>0</v>
      </c>
      <c r="R15" s="77">
        <f t="shared" si="3"/>
        <v>0</v>
      </c>
      <c r="S15" s="23">
        <v>0</v>
      </c>
      <c r="T15" s="23">
        <v>0</v>
      </c>
      <c r="U15" s="23">
        <f t="shared" si="4"/>
        <v>0</v>
      </c>
      <c r="V15" s="23">
        <f t="shared" si="5"/>
        <v>0</v>
      </c>
      <c r="W15" s="23"/>
      <c r="X15" s="23"/>
      <c r="Y15" s="26"/>
      <c r="Z15" s="37"/>
      <c r="AA15" s="37"/>
      <c r="AB15" s="37"/>
      <c r="AC15" s="37"/>
      <c r="AD15" s="36"/>
      <c r="AE15" s="60"/>
      <c r="AF15" s="36"/>
      <c r="AG15" s="36"/>
      <c r="AW15" s="23"/>
      <c r="AX15" s="23"/>
      <c r="AY15" s="23"/>
      <c r="AZ15" s="34"/>
      <c r="BA15" s="77">
        <v>0</v>
      </c>
      <c r="BD15" s="119"/>
      <c r="BE15" s="119"/>
      <c r="BG15" s="23"/>
      <c r="BH15" s="23"/>
    </row>
    <row r="16" spans="1:60" x14ac:dyDescent="0.25">
      <c r="A16" s="7" t="s">
        <v>92</v>
      </c>
      <c r="B16" s="7" t="s">
        <v>87</v>
      </c>
      <c r="C16" s="10">
        <f t="shared" si="0"/>
        <v>10</v>
      </c>
      <c r="D16" s="11">
        <v>0</v>
      </c>
      <c r="E16" s="11">
        <v>7</v>
      </c>
      <c r="F16" s="11">
        <v>0</v>
      </c>
      <c r="G16" s="11">
        <v>0</v>
      </c>
      <c r="H16" s="11">
        <v>3</v>
      </c>
      <c r="I16" s="100">
        <v>6.5</v>
      </c>
      <c r="J16" s="38">
        <v>8.5</v>
      </c>
      <c r="K16" s="95">
        <f t="shared" ref="K16:K29" si="17">I16/C16</f>
        <v>0.65</v>
      </c>
      <c r="L16" s="98">
        <v>0.85</v>
      </c>
      <c r="M16" s="98">
        <f>L16/L31</f>
        <v>5.0262410676822772E-3</v>
      </c>
      <c r="N16" s="99">
        <f>K16/K31</f>
        <v>3.5348289007998664E-3</v>
      </c>
      <c r="O16" s="77">
        <v>0</v>
      </c>
      <c r="P16" s="34">
        <v>0</v>
      </c>
      <c r="Q16" s="34">
        <f t="shared" si="2"/>
        <v>0</v>
      </c>
      <c r="R16" s="77">
        <f t="shared" si="3"/>
        <v>0</v>
      </c>
      <c r="S16" s="23">
        <f>R16/R31</f>
        <v>0</v>
      </c>
      <c r="T16" s="23">
        <f>Q16/Q31</f>
        <v>0</v>
      </c>
      <c r="U16" s="23">
        <f t="shared" si="4"/>
        <v>3.0157446406093662E-3</v>
      </c>
      <c r="V16" s="23">
        <f t="shared" si="5"/>
        <v>2.1208973404799199E-3</v>
      </c>
      <c r="W16" s="26">
        <f t="shared" ref="W16:W28" si="18">(0.6*AX16)+(0.4*BG16)</f>
        <v>-0.36725248589945791</v>
      </c>
      <c r="X16" s="23">
        <v>-0.379</v>
      </c>
      <c r="Y16" s="26">
        <f t="shared" ref="Y16:Y28" si="19">(0.6*AY16)+(0.4*BH16)</f>
        <v>-0.39051413005568064</v>
      </c>
      <c r="Z16" s="37"/>
      <c r="AA16" s="37"/>
      <c r="AB16" s="37"/>
      <c r="AC16" s="37"/>
      <c r="AD16" s="36"/>
      <c r="AE16" s="60"/>
      <c r="AF16" s="36"/>
      <c r="AG16" s="36"/>
      <c r="AP16">
        <v>13</v>
      </c>
      <c r="AQ16">
        <v>13</v>
      </c>
      <c r="AR16">
        <f t="shared" si="8"/>
        <v>0</v>
      </c>
      <c r="AS16">
        <v>61</v>
      </c>
      <c r="AT16" s="119">
        <v>57.331449999999997</v>
      </c>
      <c r="AU16">
        <f t="shared" si="9"/>
        <v>-48</v>
      </c>
      <c r="AV16" s="119">
        <f t="shared" si="10"/>
        <v>-44.331449999999997</v>
      </c>
      <c r="AW16" s="23">
        <v>-0.55439000000000005</v>
      </c>
      <c r="AX16" s="23">
        <f t="shared" si="11"/>
        <v>-0.55425505511263728</v>
      </c>
      <c r="AY16" s="23">
        <f t="shared" si="12"/>
        <v>-0.55679627243866803</v>
      </c>
      <c r="AZ16" s="34">
        <v>0</v>
      </c>
      <c r="BA16" s="77">
        <v>0</v>
      </c>
      <c r="BB16" s="119">
        <v>51066.46</v>
      </c>
      <c r="BC16" s="34">
        <v>69419.72</v>
      </c>
      <c r="BD16" s="119">
        <f t="shared" si="13"/>
        <v>-51066.46</v>
      </c>
      <c r="BE16" s="119">
        <f t="shared" si="14"/>
        <v>-69419.72</v>
      </c>
      <c r="BF16" s="23">
        <v>-8.6749999999999994E-2</v>
      </c>
      <c r="BG16" s="23">
        <f t="shared" si="16"/>
        <v>-8.6748632079688873E-2</v>
      </c>
      <c r="BH16" s="23">
        <f t="shared" si="15"/>
        <v>-0.14109091648119959</v>
      </c>
    </row>
    <row r="17" spans="1:60" x14ac:dyDescent="0.25">
      <c r="A17" s="9" t="s">
        <v>92</v>
      </c>
      <c r="B17" s="9" t="s">
        <v>97</v>
      </c>
      <c r="C17" s="10">
        <f t="shared" si="0"/>
        <v>18</v>
      </c>
      <c r="D17" s="11">
        <v>18</v>
      </c>
      <c r="E17" s="11">
        <v>0</v>
      </c>
      <c r="F17" s="11">
        <v>0</v>
      </c>
      <c r="G17" s="11">
        <v>0</v>
      </c>
      <c r="H17" s="11">
        <v>0</v>
      </c>
      <c r="I17" s="100">
        <v>64.5</v>
      </c>
      <c r="J17" s="38">
        <v>111.5</v>
      </c>
      <c r="K17" s="95">
        <f t="shared" si="17"/>
        <v>3.5833333333333335</v>
      </c>
      <c r="L17" s="98">
        <v>6.1944444444444446</v>
      </c>
      <c r="M17" s="98">
        <f>L17/L31</f>
        <v>3.6629142421344699E-2</v>
      </c>
      <c r="N17" s="99">
        <f>K17/K31</f>
        <v>1.9486877273640287E-2</v>
      </c>
      <c r="O17" s="77">
        <v>30791</v>
      </c>
      <c r="P17" s="34">
        <v>34620</v>
      </c>
      <c r="Q17" s="34">
        <f t="shared" si="2"/>
        <v>1710.6111111111111</v>
      </c>
      <c r="R17" s="77">
        <f t="shared" si="3"/>
        <v>1923.3333333333333</v>
      </c>
      <c r="S17" s="23">
        <f>R17/R31</f>
        <v>2.2541409646351811E-2</v>
      </c>
      <c r="T17" s="23">
        <f>Q17/Q31</f>
        <v>1.2800175934406147E-2</v>
      </c>
      <c r="U17" s="23">
        <f t="shared" si="4"/>
        <v>3.0994049311347541E-2</v>
      </c>
      <c r="V17" s="23">
        <f t="shared" si="5"/>
        <v>1.6812196737946629E-2</v>
      </c>
      <c r="W17" s="26">
        <f t="shared" si="18"/>
        <v>-0.3481483137309197</v>
      </c>
      <c r="X17" s="23">
        <v>-0.24099999999999999</v>
      </c>
      <c r="Y17" s="26">
        <f t="shared" si="19"/>
        <v>-0.37441639214139166</v>
      </c>
      <c r="Z17" s="37"/>
      <c r="AA17" s="37"/>
      <c r="AB17" s="37"/>
      <c r="AC17" s="37"/>
      <c r="AD17" s="36"/>
      <c r="AE17" s="60"/>
      <c r="AF17" s="36"/>
      <c r="AG17" s="36"/>
      <c r="AP17">
        <v>129</v>
      </c>
      <c r="AQ17">
        <v>129</v>
      </c>
      <c r="AR17">
        <f t="shared" si="8"/>
        <v>0</v>
      </c>
      <c r="AS17">
        <v>110</v>
      </c>
      <c r="AT17" s="119">
        <v>103.1966</v>
      </c>
      <c r="AU17">
        <f t="shared" si="9"/>
        <v>19</v>
      </c>
      <c r="AV17" s="119">
        <f t="shared" si="10"/>
        <v>25.803399999999996</v>
      </c>
      <c r="AW17" s="23">
        <v>-0.51332999999999995</v>
      </c>
      <c r="AX17" s="23">
        <f t="shared" si="11"/>
        <v>-0.51323691590879339</v>
      </c>
      <c r="AY17" s="23">
        <f t="shared" si="12"/>
        <v>-0.51468439075458872</v>
      </c>
      <c r="AZ17" s="34">
        <v>30791</v>
      </c>
      <c r="BA17" s="77">
        <v>30791</v>
      </c>
      <c r="BB17" s="119">
        <v>87899.28</v>
      </c>
      <c r="BC17" s="34">
        <v>110272.08</v>
      </c>
      <c r="BD17" s="119">
        <f t="shared" si="13"/>
        <v>-57108.28</v>
      </c>
      <c r="BE17" s="119">
        <f t="shared" si="14"/>
        <v>-79481.08</v>
      </c>
      <c r="BF17" s="23">
        <v>-0.10052</v>
      </c>
      <c r="BG17" s="23">
        <f t="shared" si="16"/>
        <v>-0.1005154104641091</v>
      </c>
      <c r="BH17" s="23">
        <f t="shared" si="15"/>
        <v>-0.16401439422159608</v>
      </c>
    </row>
    <row r="18" spans="1:60" x14ac:dyDescent="0.25">
      <c r="A18" s="7" t="s">
        <v>92</v>
      </c>
      <c r="B18" s="7" t="s">
        <v>98</v>
      </c>
      <c r="C18" s="10">
        <f t="shared" si="0"/>
        <v>6</v>
      </c>
      <c r="D18" s="11">
        <v>1</v>
      </c>
      <c r="E18" s="11">
        <v>0</v>
      </c>
      <c r="F18" s="11">
        <v>0</v>
      </c>
      <c r="G18" s="11">
        <v>0</v>
      </c>
      <c r="H18" s="11">
        <v>5</v>
      </c>
      <c r="I18" s="100">
        <v>22</v>
      </c>
      <c r="J18" s="38">
        <v>4.5</v>
      </c>
      <c r="K18" s="95">
        <f t="shared" si="17"/>
        <v>3.6666666666666665</v>
      </c>
      <c r="L18" s="98">
        <v>0.75</v>
      </c>
      <c r="M18" s="98">
        <f>L18/L31</f>
        <v>4.4349185891314211E-3</v>
      </c>
      <c r="N18" s="99">
        <f>K18/K31</f>
        <v>1.9940060466050527E-2</v>
      </c>
      <c r="O18" s="77">
        <v>0</v>
      </c>
      <c r="P18" s="34">
        <v>0</v>
      </c>
      <c r="Q18" s="34">
        <f t="shared" si="2"/>
        <v>0</v>
      </c>
      <c r="R18" s="77">
        <f t="shared" si="3"/>
        <v>0</v>
      </c>
      <c r="S18" s="23">
        <f>R18/R31</f>
        <v>0</v>
      </c>
      <c r="T18" s="23">
        <f>Q18/Q31</f>
        <v>0</v>
      </c>
      <c r="U18" s="23">
        <f t="shared" si="4"/>
        <v>2.6609511534788524E-3</v>
      </c>
      <c r="V18" s="23">
        <f t="shared" si="5"/>
        <v>1.1964036279630316E-2</v>
      </c>
      <c r="W18" s="26">
        <f t="shared" si="18"/>
        <v>-0.32953884286731672</v>
      </c>
      <c r="X18" s="23">
        <v>-0.36199999999999999</v>
      </c>
      <c r="Y18" s="26">
        <f t="shared" si="19"/>
        <v>-0.35013414647364777</v>
      </c>
      <c r="Z18" s="37"/>
      <c r="AA18" s="37"/>
      <c r="AB18" s="37"/>
      <c r="AC18" s="37"/>
      <c r="AD18" s="36"/>
      <c r="AE18" s="60"/>
      <c r="AF18" s="36"/>
      <c r="AG18" s="36"/>
      <c r="AP18">
        <v>44</v>
      </c>
      <c r="AQ18">
        <v>44</v>
      </c>
      <c r="AR18">
        <f t="shared" si="8"/>
        <v>0</v>
      </c>
      <c r="AS18">
        <v>37</v>
      </c>
      <c r="AT18" s="119">
        <v>34.398870000000002</v>
      </c>
      <c r="AU18">
        <f t="shared" si="9"/>
        <v>7</v>
      </c>
      <c r="AV18" s="119">
        <f t="shared" si="10"/>
        <v>9.6011299999999977</v>
      </c>
      <c r="AW18" s="23">
        <v>-0.52042999999999995</v>
      </c>
      <c r="AX18" s="23">
        <f t="shared" si="11"/>
        <v>-0.52058344830351166</v>
      </c>
      <c r="AY18" s="23">
        <f t="shared" si="12"/>
        <v>-0.5244129077080506</v>
      </c>
      <c r="AZ18" s="34">
        <v>0</v>
      </c>
      <c r="BA18" s="77">
        <v>0</v>
      </c>
      <c r="BB18" s="119">
        <v>31854.2</v>
      </c>
      <c r="BC18" s="34">
        <v>46431.81</v>
      </c>
      <c r="BD18" s="119">
        <f t="shared" si="13"/>
        <v>-31854.2</v>
      </c>
      <c r="BE18" s="119">
        <f t="shared" si="14"/>
        <v>-46431.81</v>
      </c>
      <c r="BF18" s="23">
        <v>-4.2970000000000001E-2</v>
      </c>
      <c r="BG18" s="23">
        <f t="shared" si="16"/>
        <v>-4.297193471302433E-2</v>
      </c>
      <c r="BH18" s="23">
        <f t="shared" si="15"/>
        <v>-8.8716004622043557E-2</v>
      </c>
    </row>
    <row r="19" spans="1:60" x14ac:dyDescent="0.25">
      <c r="A19" s="9" t="s">
        <v>99</v>
      </c>
      <c r="B19" s="9" t="s">
        <v>103</v>
      </c>
      <c r="C19" s="10">
        <f t="shared" si="0"/>
        <v>146</v>
      </c>
      <c r="D19" s="8">
        <v>36</v>
      </c>
      <c r="E19" s="8">
        <v>12</v>
      </c>
      <c r="F19" s="8">
        <v>38</v>
      </c>
      <c r="G19" s="8">
        <v>37</v>
      </c>
      <c r="H19" s="8">
        <v>23</v>
      </c>
      <c r="I19" s="100">
        <v>2662.5</v>
      </c>
      <c r="J19" s="38">
        <v>2882.5</v>
      </c>
      <c r="K19" s="95">
        <f t="shared" si="17"/>
        <v>18.236301369863014</v>
      </c>
      <c r="L19" s="98">
        <v>19.743150684931507</v>
      </c>
      <c r="M19" s="98">
        <f>L19/L31</f>
        <v>0.11674568797416732</v>
      </c>
      <c r="N19" s="99">
        <f>K19/K31</f>
        <v>9.917262327059688E-2</v>
      </c>
      <c r="O19" s="77">
        <v>148434</v>
      </c>
      <c r="P19" s="34">
        <v>167241</v>
      </c>
      <c r="Q19" s="34">
        <f t="shared" si="2"/>
        <v>1016.6712328767123</v>
      </c>
      <c r="R19" s="77">
        <f t="shared" si="3"/>
        <v>1145.486301369863</v>
      </c>
      <c r="S19" s="23">
        <f>R19/R31</f>
        <v>1.342506549226819E-2</v>
      </c>
      <c r="T19" s="23">
        <f>Q19/Q31</f>
        <v>7.607556483027098E-3</v>
      </c>
      <c r="U19" s="23">
        <f t="shared" si="4"/>
        <v>7.5417438981407667E-2</v>
      </c>
      <c r="V19" s="23">
        <f t="shared" si="5"/>
        <v>6.2546596555568962E-2</v>
      </c>
      <c r="W19" s="25">
        <f t="shared" si="18"/>
        <v>0.90606002003420616</v>
      </c>
      <c r="X19" s="27">
        <v>1.3009999999999999</v>
      </c>
      <c r="Y19" s="25">
        <f t="shared" si="19"/>
        <v>0.99935522974471591</v>
      </c>
      <c r="Z19" s="67">
        <f>AC19*AK$5</f>
        <v>825480.51601950754</v>
      </c>
      <c r="AA19" s="67">
        <f>(AE19*AM$5)</f>
        <v>857188.4135871341</v>
      </c>
      <c r="AB19" s="147">
        <f>AA19-Z19</f>
        <v>31707.897567626555</v>
      </c>
      <c r="AC19" s="67">
        <f>C19*AF19</f>
        <v>21.665854812703191</v>
      </c>
      <c r="AD19" s="74">
        <f>X19/AL2</f>
        <v>0.2284861257463997</v>
      </c>
      <c r="AE19" s="241">
        <f>C19*AG19</f>
        <v>22.756334525613955</v>
      </c>
      <c r="AF19" s="74">
        <f>W19/AN$2</f>
        <v>0.14839626584043281</v>
      </c>
      <c r="AG19" s="74">
        <f>Y19/AO$2</f>
        <v>0.1558653049699586</v>
      </c>
      <c r="AP19">
        <v>5325</v>
      </c>
      <c r="AQ19">
        <v>5332</v>
      </c>
      <c r="AR19">
        <f t="shared" si="8"/>
        <v>-7</v>
      </c>
      <c r="AS19">
        <v>893</v>
      </c>
      <c r="AT19" s="119">
        <v>837.03911000000005</v>
      </c>
      <c r="AU19">
        <f t="shared" si="9"/>
        <v>4432</v>
      </c>
      <c r="AV19" s="119">
        <f t="shared" si="10"/>
        <v>4494.9608900000003</v>
      </c>
      <c r="AW19" s="23">
        <v>2.18832</v>
      </c>
      <c r="AX19" s="23">
        <f t="shared" si="11"/>
        <v>2.1884503722488668</v>
      </c>
      <c r="AY19" s="23">
        <f t="shared" si="12"/>
        <v>2.1687836917521399</v>
      </c>
      <c r="AZ19" s="34">
        <v>148434</v>
      </c>
      <c r="BA19" s="77">
        <v>234293</v>
      </c>
      <c r="BB19" s="119">
        <v>607990.1</v>
      </c>
      <c r="BC19" s="34">
        <v>573070.71</v>
      </c>
      <c r="BD19" s="119">
        <f t="shared" si="13"/>
        <v>-459556.1</v>
      </c>
      <c r="BE19" s="119">
        <f t="shared" si="14"/>
        <v>-338777.70999999996</v>
      </c>
      <c r="BF19" s="23">
        <v>-1.01753</v>
      </c>
      <c r="BG19" s="23">
        <f t="shared" si="16"/>
        <v>-1.0175255082877848</v>
      </c>
      <c r="BH19" s="23">
        <f t="shared" si="15"/>
        <v>-0.75478746326641977</v>
      </c>
    </row>
    <row r="20" spans="1:60" x14ac:dyDescent="0.25">
      <c r="A20" s="9" t="s">
        <v>99</v>
      </c>
      <c r="B20" s="9" t="s">
        <v>105</v>
      </c>
      <c r="C20" s="10">
        <f t="shared" si="0"/>
        <v>13</v>
      </c>
      <c r="D20" s="8">
        <v>5</v>
      </c>
      <c r="E20" s="8">
        <v>1</v>
      </c>
      <c r="F20" s="8">
        <v>2</v>
      </c>
      <c r="G20" s="8">
        <v>4</v>
      </c>
      <c r="H20" s="8">
        <v>1</v>
      </c>
      <c r="I20" s="100">
        <v>172</v>
      </c>
      <c r="J20" s="38">
        <v>114</v>
      </c>
      <c r="K20" s="95">
        <f t="shared" si="17"/>
        <v>13.23076923076923</v>
      </c>
      <c r="L20" s="98">
        <v>8.7692307692307701</v>
      </c>
      <c r="M20" s="98">
        <f>L20/L31</f>
        <v>5.1854432734459693E-2</v>
      </c>
      <c r="N20" s="99">
        <f>K20/K31</f>
        <v>7.1951546856517987E-2</v>
      </c>
      <c r="O20" s="77">
        <v>323297</v>
      </c>
      <c r="P20" s="34">
        <v>0</v>
      </c>
      <c r="Q20" s="34">
        <f t="shared" si="2"/>
        <v>24869</v>
      </c>
      <c r="R20" s="77">
        <f t="shared" si="3"/>
        <v>0</v>
      </c>
      <c r="S20" s="23">
        <f>R20/R31</f>
        <v>0</v>
      </c>
      <c r="T20" s="23">
        <f>Q20/Q31</f>
        <v>0.18608997290212842</v>
      </c>
      <c r="U20" s="23">
        <f t="shared" si="4"/>
        <v>3.1112659640675815E-2</v>
      </c>
      <c r="V20" s="23">
        <f t="shared" si="5"/>
        <v>0.11760691727476216</v>
      </c>
      <c r="W20" s="26">
        <f t="shared" si="18"/>
        <v>-0.26541377263010596</v>
      </c>
      <c r="X20" s="23">
        <v>-0.32400000000000001</v>
      </c>
      <c r="Y20" s="26">
        <f t="shared" si="19"/>
        <v>2.6566791721816252E-3</v>
      </c>
      <c r="Z20" s="61"/>
      <c r="AA20" s="61"/>
      <c r="AB20" s="61"/>
      <c r="AC20" s="61"/>
      <c r="AD20" s="36"/>
      <c r="AE20" s="60"/>
      <c r="AF20" s="36"/>
      <c r="AG20" s="36"/>
      <c r="AP20">
        <v>344</v>
      </c>
      <c r="AQ20">
        <v>344</v>
      </c>
      <c r="AR20">
        <f t="shared" si="8"/>
        <v>0</v>
      </c>
      <c r="AS20">
        <v>80</v>
      </c>
      <c r="AT20" s="119">
        <v>74.530879999999996</v>
      </c>
      <c r="AU20">
        <f t="shared" si="9"/>
        <v>264</v>
      </c>
      <c r="AV20" s="119">
        <f t="shared" si="10"/>
        <v>269.46911999999998</v>
      </c>
      <c r="AW20" s="23">
        <v>-0.36298999999999998</v>
      </c>
      <c r="AX20" s="23">
        <f t="shared" si="11"/>
        <v>-0.36324521284996114</v>
      </c>
      <c r="AY20" s="23">
        <f t="shared" si="12"/>
        <v>-0.36837735550597828</v>
      </c>
      <c r="AZ20" s="34">
        <v>0</v>
      </c>
      <c r="BA20" s="77">
        <v>323296.88</v>
      </c>
      <c r="BB20" s="119">
        <v>65074.29</v>
      </c>
      <c r="BC20" s="34">
        <v>85348.02</v>
      </c>
      <c r="BD20" s="119">
        <f t="shared" si="13"/>
        <v>-65074.29</v>
      </c>
      <c r="BE20" s="119">
        <f t="shared" si="14"/>
        <v>237948.86</v>
      </c>
      <c r="BF20" s="23">
        <v>-0.11867</v>
      </c>
      <c r="BG20" s="23">
        <f t="shared" si="16"/>
        <v>-0.11866661230032324</v>
      </c>
      <c r="BH20" s="23">
        <f t="shared" si="15"/>
        <v>0.55920773118942146</v>
      </c>
    </row>
    <row r="21" spans="1:60" x14ac:dyDescent="0.25">
      <c r="A21" s="9" t="s">
        <v>111</v>
      </c>
      <c r="B21" s="9" t="s">
        <v>113</v>
      </c>
      <c r="C21" s="10">
        <f t="shared" si="0"/>
        <v>36</v>
      </c>
      <c r="D21" s="11">
        <v>2</v>
      </c>
      <c r="E21" s="11">
        <v>16</v>
      </c>
      <c r="F21">
        <v>9</v>
      </c>
      <c r="G21">
        <v>0</v>
      </c>
      <c r="H21" s="11">
        <v>9</v>
      </c>
      <c r="I21" s="100">
        <v>176</v>
      </c>
      <c r="J21" s="38">
        <v>227</v>
      </c>
      <c r="K21" s="95">
        <f t="shared" si="17"/>
        <v>4.8888888888888893</v>
      </c>
      <c r="L21" s="98">
        <v>6.3055555555555554</v>
      </c>
      <c r="M21" s="98">
        <f>L21/L31</f>
        <v>3.7286167397512317E-2</v>
      </c>
      <c r="N21" s="99">
        <f>K21/K31</f>
        <v>2.6586747288067373E-2</v>
      </c>
      <c r="O21" s="77">
        <v>0</v>
      </c>
      <c r="P21" s="34">
        <v>136430</v>
      </c>
      <c r="Q21" s="34">
        <f t="shared" si="2"/>
        <v>0</v>
      </c>
      <c r="R21" s="77">
        <f t="shared" si="3"/>
        <v>3789.7222222222222</v>
      </c>
      <c r="S21" s="23">
        <f>R21/R31</f>
        <v>4.4415432092024518E-2</v>
      </c>
      <c r="T21" s="23">
        <f>Q21/Q31</f>
        <v>0</v>
      </c>
      <c r="U21" s="23">
        <f t="shared" si="4"/>
        <v>4.0137873275317197E-2</v>
      </c>
      <c r="V21" s="23">
        <f t="shared" si="5"/>
        <v>1.5952048372840422E-2</v>
      </c>
      <c r="W21" s="26">
        <f t="shared" si="18"/>
        <v>-0.40658718669437821</v>
      </c>
      <c r="X21" s="23">
        <v>-0.15</v>
      </c>
      <c r="Y21" s="26">
        <f t="shared" si="19"/>
        <v>-0.43226412326637359</v>
      </c>
      <c r="Z21" s="61"/>
      <c r="AA21" s="61"/>
      <c r="AB21" s="61"/>
      <c r="AC21" s="61"/>
      <c r="AD21" s="36"/>
      <c r="AE21" s="60"/>
      <c r="AF21" s="36"/>
      <c r="AG21" s="36"/>
      <c r="AP21">
        <v>352</v>
      </c>
      <c r="AQ21">
        <v>352</v>
      </c>
      <c r="AR21">
        <f t="shared" si="8"/>
        <v>0</v>
      </c>
      <c r="AS21">
        <v>220</v>
      </c>
      <c r="AT21" s="119">
        <v>206.39320000000001</v>
      </c>
      <c r="AU21">
        <f t="shared" si="9"/>
        <v>132</v>
      </c>
      <c r="AV21" s="119">
        <f t="shared" si="10"/>
        <v>145.60679999999999</v>
      </c>
      <c r="AW21" s="23">
        <v>-0.44422</v>
      </c>
      <c r="AX21" s="23">
        <f t="shared" si="11"/>
        <v>-0.44405706919186261</v>
      </c>
      <c r="AY21" s="23">
        <f t="shared" si="12"/>
        <v>-0.44274944534370619</v>
      </c>
      <c r="AZ21" s="34">
        <v>0</v>
      </c>
      <c r="BA21" s="77">
        <v>0</v>
      </c>
      <c r="BB21" s="119">
        <v>166767.28</v>
      </c>
      <c r="BC21" s="34">
        <v>190315.58</v>
      </c>
      <c r="BD21" s="119">
        <f t="shared" si="13"/>
        <v>-166767.28</v>
      </c>
      <c r="BE21" s="119">
        <f t="shared" si="14"/>
        <v>-190315.58</v>
      </c>
      <c r="BF21" s="23">
        <v>-0.35038000000000002</v>
      </c>
      <c r="BG21" s="23">
        <f t="shared" si="16"/>
        <v>-0.3503823629481515</v>
      </c>
      <c r="BH21" s="23">
        <f t="shared" si="15"/>
        <v>-0.41653614015037471</v>
      </c>
    </row>
    <row r="22" spans="1:60" x14ac:dyDescent="0.25">
      <c r="A22" s="9" t="s">
        <v>114</v>
      </c>
      <c r="B22" s="9" t="s">
        <v>113</v>
      </c>
      <c r="C22" s="10">
        <f t="shared" si="0"/>
        <v>64</v>
      </c>
      <c r="D22">
        <v>7</v>
      </c>
      <c r="E22">
        <v>17</v>
      </c>
      <c r="F22">
        <v>0</v>
      </c>
      <c r="G22">
        <v>24</v>
      </c>
      <c r="H22" s="15">
        <v>16</v>
      </c>
      <c r="I22" s="100">
        <v>406.5</v>
      </c>
      <c r="J22" s="38">
        <v>353.5</v>
      </c>
      <c r="K22" s="95">
        <f t="shared" si="17"/>
        <v>6.3515625</v>
      </c>
      <c r="L22" s="98">
        <v>5.5234375</v>
      </c>
      <c r="M22" s="98">
        <f>L22/L31</f>
        <v>3.2661327526207443E-2</v>
      </c>
      <c r="N22" s="99">
        <f>K22/K31</f>
        <v>3.454105644651792E-2</v>
      </c>
      <c r="O22" s="77">
        <v>183895</v>
      </c>
      <c r="P22" s="34">
        <v>38496</v>
      </c>
      <c r="Q22" s="34">
        <f t="shared" si="2"/>
        <v>2873.359375</v>
      </c>
      <c r="R22" s="77">
        <f t="shared" si="3"/>
        <v>601.5</v>
      </c>
      <c r="S22" s="23">
        <f>R22/R31</f>
        <v>7.0495621675635773E-3</v>
      </c>
      <c r="T22" s="23">
        <f>Q22/Q31</f>
        <v>2.1500798915590761E-2</v>
      </c>
      <c r="U22" s="23">
        <f t="shared" si="4"/>
        <v>2.2416621382749899E-2</v>
      </c>
      <c r="V22" s="23">
        <f t="shared" si="5"/>
        <v>2.9324953434147059E-2</v>
      </c>
      <c r="W22" s="26">
        <f t="shared" si="18"/>
        <v>-0.23910028067387085</v>
      </c>
      <c r="X22" s="23">
        <v>-0.218</v>
      </c>
      <c r="Y22" s="26">
        <f t="shared" si="19"/>
        <v>-0.40609857862596122</v>
      </c>
      <c r="Z22" s="61"/>
      <c r="AA22" s="61"/>
      <c r="AB22" s="61"/>
      <c r="AC22" s="61"/>
      <c r="AD22" s="36"/>
      <c r="AE22" s="60"/>
      <c r="AF22" s="36"/>
      <c r="AG22" s="36"/>
      <c r="AP22">
        <v>813</v>
      </c>
      <c r="AQ22">
        <v>798</v>
      </c>
      <c r="AR22">
        <f t="shared" si="8"/>
        <v>15</v>
      </c>
      <c r="AS22">
        <v>391</v>
      </c>
      <c r="AT22" s="119">
        <v>366.92124999999999</v>
      </c>
      <c r="AU22">
        <f t="shared" si="9"/>
        <v>422</v>
      </c>
      <c r="AV22" s="119">
        <f t="shared" si="10"/>
        <v>431.07875000000001</v>
      </c>
      <c r="AW22" s="23">
        <v>-0.26684000000000002</v>
      </c>
      <c r="AX22" s="23">
        <f t="shared" si="11"/>
        <v>-0.26651586965283669</v>
      </c>
      <c r="AY22" s="23">
        <f t="shared" si="12"/>
        <v>-0.27134021038386219</v>
      </c>
      <c r="AZ22" s="34">
        <v>183895</v>
      </c>
      <c r="BA22" s="77">
        <v>24916</v>
      </c>
      <c r="BB22" s="119">
        <v>283776.15999999997</v>
      </c>
      <c r="BC22" s="34">
        <v>299370.76</v>
      </c>
      <c r="BD22" s="119">
        <f t="shared" si="13"/>
        <v>-99881.159999999974</v>
      </c>
      <c r="BE22" s="119">
        <f t="shared" si="14"/>
        <v>-274454.76</v>
      </c>
      <c r="BF22" s="23">
        <v>-0.19797999999999999</v>
      </c>
      <c r="BG22" s="23">
        <f t="shared" si="16"/>
        <v>-0.19797689720542208</v>
      </c>
      <c r="BH22" s="23">
        <f t="shared" si="15"/>
        <v>-0.60823613098910967</v>
      </c>
    </row>
    <row r="23" spans="1:60" x14ac:dyDescent="0.25">
      <c r="A23" s="7" t="s">
        <v>114</v>
      </c>
      <c r="B23" s="7" t="s">
        <v>117</v>
      </c>
      <c r="C23" s="10">
        <f t="shared" si="0"/>
        <v>5</v>
      </c>
      <c r="D23">
        <v>0</v>
      </c>
      <c r="E23">
        <v>0</v>
      </c>
      <c r="F23">
        <v>0</v>
      </c>
      <c r="G23">
        <v>2</v>
      </c>
      <c r="H23" s="15">
        <v>3</v>
      </c>
      <c r="I23" s="100">
        <v>14</v>
      </c>
      <c r="J23" s="38">
        <v>1</v>
      </c>
      <c r="K23" s="95">
        <f t="shared" si="17"/>
        <v>2.8</v>
      </c>
      <c r="L23" s="98">
        <v>0.2</v>
      </c>
      <c r="M23" s="98">
        <f>L23/L31</f>
        <v>1.1826449571017124E-3</v>
      </c>
      <c r="N23" s="99">
        <f>K23/K31</f>
        <v>1.5226955264984039E-2</v>
      </c>
      <c r="O23" s="77">
        <v>0</v>
      </c>
      <c r="P23" s="34">
        <v>0</v>
      </c>
      <c r="Q23" s="34">
        <f t="shared" si="2"/>
        <v>0</v>
      </c>
      <c r="R23" s="77">
        <f t="shared" si="3"/>
        <v>0</v>
      </c>
      <c r="S23" s="23">
        <f>R23/R31</f>
        <v>0</v>
      </c>
      <c r="T23" s="23">
        <f>Q23/Q31</f>
        <v>0</v>
      </c>
      <c r="U23" s="23">
        <f t="shared" si="4"/>
        <v>7.0958697426102744E-4</v>
      </c>
      <c r="V23" s="23">
        <f t="shared" si="5"/>
        <v>9.1361731589904224E-3</v>
      </c>
      <c r="W23" s="26">
        <f t="shared" si="18"/>
        <v>-0.32871125466295514</v>
      </c>
      <c r="X23" s="23">
        <v>-0.35299999999999998</v>
      </c>
      <c r="Y23" s="26">
        <f t="shared" si="19"/>
        <v>-0.34817452456156389</v>
      </c>
      <c r="Z23" s="61"/>
      <c r="AA23" s="61"/>
      <c r="AB23" s="61"/>
      <c r="AC23" s="61"/>
      <c r="AD23" s="36"/>
      <c r="AE23" s="60"/>
      <c r="AF23" s="36"/>
      <c r="AG23" s="36"/>
      <c r="AP23">
        <v>28</v>
      </c>
      <c r="AQ23">
        <v>28</v>
      </c>
      <c r="AR23">
        <f t="shared" si="8"/>
        <v>0</v>
      </c>
      <c r="AS23">
        <v>31</v>
      </c>
      <c r="AT23" s="119">
        <v>28.66572</v>
      </c>
      <c r="AU23">
        <f t="shared" si="9"/>
        <v>-3</v>
      </c>
      <c r="AV23" s="119">
        <f t="shared" si="10"/>
        <v>-0.66572000000000031</v>
      </c>
      <c r="AW23" s="23">
        <v>-0.52647999999999995</v>
      </c>
      <c r="AX23" s="23">
        <f t="shared" si="11"/>
        <v>-0.52670555863244362</v>
      </c>
      <c r="AY23" s="23">
        <f t="shared" si="12"/>
        <v>-0.53057755156867326</v>
      </c>
      <c r="AZ23" s="34">
        <v>0</v>
      </c>
      <c r="BA23" s="77">
        <v>0</v>
      </c>
      <c r="BB23" s="119">
        <v>26915.98</v>
      </c>
      <c r="BC23" s="34">
        <v>40222.97</v>
      </c>
      <c r="BD23" s="119">
        <f t="shared" si="13"/>
        <v>-26915.98</v>
      </c>
      <c r="BE23" s="119">
        <f t="shared" si="14"/>
        <v>-40222.97</v>
      </c>
      <c r="BF23" s="23">
        <v>-3.1719999999999998E-2</v>
      </c>
      <c r="BG23" s="23">
        <f t="shared" si="16"/>
        <v>-3.1719798708722373E-2</v>
      </c>
      <c r="BH23" s="23">
        <f t="shared" si="15"/>
        <v>-7.4569984050899762E-2</v>
      </c>
    </row>
    <row r="24" spans="1:60" x14ac:dyDescent="0.25">
      <c r="A24" s="9" t="s">
        <v>118</v>
      </c>
      <c r="B24" s="9" t="s">
        <v>119</v>
      </c>
      <c r="C24" s="10">
        <f t="shared" si="0"/>
        <v>40</v>
      </c>
      <c r="D24">
        <v>8</v>
      </c>
      <c r="E24">
        <v>17</v>
      </c>
      <c r="F24">
        <v>0</v>
      </c>
      <c r="G24">
        <v>15</v>
      </c>
      <c r="H24">
        <v>0</v>
      </c>
      <c r="I24" s="100">
        <v>156</v>
      </c>
      <c r="J24" s="38">
        <v>172.5</v>
      </c>
      <c r="K24" s="95">
        <f t="shared" si="17"/>
        <v>3.9</v>
      </c>
      <c r="L24" s="98">
        <v>4.3125</v>
      </c>
      <c r="M24" s="98">
        <f>L24/L31</f>
        <v>2.550078188750567E-2</v>
      </c>
      <c r="N24" s="99">
        <f>K24/K31</f>
        <v>2.1208973404799197E-2</v>
      </c>
      <c r="O24" s="77">
        <v>21151</v>
      </c>
      <c r="P24" s="34">
        <v>105135</v>
      </c>
      <c r="Q24" s="34">
        <f t="shared" si="2"/>
        <v>528.77499999999998</v>
      </c>
      <c r="R24" s="77">
        <f t="shared" si="3"/>
        <v>2628.375</v>
      </c>
      <c r="S24" s="23">
        <f>R24/R31</f>
        <v>3.0804477077589223E-2</v>
      </c>
      <c r="T24" s="23">
        <f>Q24/Q31</f>
        <v>3.9567222413978429E-3</v>
      </c>
      <c r="U24" s="23">
        <f t="shared" si="4"/>
        <v>2.7622259963539092E-2</v>
      </c>
      <c r="V24" s="23">
        <f t="shared" si="5"/>
        <v>1.4308072939438653E-2</v>
      </c>
      <c r="W24" s="26">
        <f t="shared" si="18"/>
        <v>-0.42672581441382412</v>
      </c>
      <c r="X24" s="23">
        <v>-0.22</v>
      </c>
      <c r="Y24" s="26">
        <f t="shared" si="19"/>
        <v>-0.44669902070660833</v>
      </c>
      <c r="Z24" s="61"/>
      <c r="AA24" s="61"/>
      <c r="AB24" s="61"/>
      <c r="AC24" s="61"/>
      <c r="AD24" s="36"/>
      <c r="AE24" s="60"/>
      <c r="AF24" s="36"/>
      <c r="AG24" s="36"/>
      <c r="AP24">
        <v>312</v>
      </c>
      <c r="AQ24">
        <v>323</v>
      </c>
      <c r="AR24">
        <f t="shared" si="8"/>
        <v>-11</v>
      </c>
      <c r="AS24">
        <v>245</v>
      </c>
      <c r="AT24" s="119">
        <v>229.32578000000001</v>
      </c>
      <c r="AU24">
        <f t="shared" si="9"/>
        <v>67</v>
      </c>
      <c r="AV24" s="119">
        <f t="shared" si="10"/>
        <v>93.674219999999991</v>
      </c>
      <c r="AW24" s="23">
        <v>-0.48368</v>
      </c>
      <c r="AX24" s="23">
        <f t="shared" si="11"/>
        <v>-0.48385078632992012</v>
      </c>
      <c r="AY24" s="23">
        <f t="shared" si="12"/>
        <v>-0.47393192687049335</v>
      </c>
      <c r="AZ24" s="34">
        <v>21151</v>
      </c>
      <c r="BA24" s="77">
        <v>21150.959999999999</v>
      </c>
      <c r="BB24" s="119">
        <v>183817.48</v>
      </c>
      <c r="BC24" s="34">
        <v>206776.13</v>
      </c>
      <c r="BD24" s="119">
        <f t="shared" si="13"/>
        <v>-162666.48000000001</v>
      </c>
      <c r="BE24" s="119">
        <f t="shared" si="14"/>
        <v>-185625.17</v>
      </c>
      <c r="BF24" s="23">
        <v>-0.34104000000000001</v>
      </c>
      <c r="BG24" s="23">
        <f t="shared" si="16"/>
        <v>-0.34103835653968018</v>
      </c>
      <c r="BH24" s="23">
        <f t="shared" si="15"/>
        <v>-0.40584966146078078</v>
      </c>
    </row>
    <row r="25" spans="1:60" x14ac:dyDescent="0.25">
      <c r="A25" s="7" t="s">
        <v>129</v>
      </c>
      <c r="B25" s="7" t="s">
        <v>133</v>
      </c>
      <c r="C25" s="10">
        <f t="shared" si="0"/>
        <v>32</v>
      </c>
      <c r="D25">
        <v>0</v>
      </c>
      <c r="E25">
        <v>0</v>
      </c>
      <c r="F25">
        <v>32</v>
      </c>
      <c r="G25">
        <v>0</v>
      </c>
      <c r="H25">
        <v>0</v>
      </c>
      <c r="I25" s="100">
        <v>679.5</v>
      </c>
      <c r="J25" s="38">
        <v>325</v>
      </c>
      <c r="K25" s="95">
        <f t="shared" si="17"/>
        <v>21.234375</v>
      </c>
      <c r="L25" s="98">
        <v>10.15625</v>
      </c>
      <c r="M25" s="98">
        <f>L25/L31</f>
        <v>6.0056189227821327E-2</v>
      </c>
      <c r="N25" s="99">
        <f>K25/K31</f>
        <v>0.11547674221603409</v>
      </c>
      <c r="O25" s="77">
        <v>1928697</v>
      </c>
      <c r="P25" s="34">
        <v>1003351</v>
      </c>
      <c r="Q25" s="34">
        <f t="shared" si="2"/>
        <v>60271.78125</v>
      </c>
      <c r="R25" s="77">
        <f t="shared" si="3"/>
        <v>31354.71875</v>
      </c>
      <c r="S25" s="23">
        <f>R25/R31</f>
        <v>0.36747637418885509</v>
      </c>
      <c r="T25" s="23">
        <f>Q25/Q31</f>
        <v>0.45100221720115452</v>
      </c>
      <c r="U25" s="23">
        <f t="shared" si="4"/>
        <v>0.18302426321223483</v>
      </c>
      <c r="V25" s="23">
        <f t="shared" si="5"/>
        <v>0.24968693221008226</v>
      </c>
      <c r="W25" s="25">
        <f t="shared" si="18"/>
        <v>1.7456760849442232</v>
      </c>
      <c r="X25" s="27">
        <v>0.214</v>
      </c>
      <c r="Y25" s="25">
        <f t="shared" si="19"/>
        <v>1.7132987594830682</v>
      </c>
      <c r="Z25" s="67">
        <f>AC25*AK$5</f>
        <v>348586.56456928095</v>
      </c>
      <c r="AA25" s="67">
        <f>(AE25*AM$5)</f>
        <v>322096.95977560454</v>
      </c>
      <c r="AB25" s="147">
        <f>AA25-Z25</f>
        <v>-26489.604793676408</v>
      </c>
      <c r="AC25" s="67">
        <f>C25*AF25</f>
        <v>9.1491267825860465</v>
      </c>
      <c r="AD25" s="74">
        <f>X25/AL2</f>
        <v>3.758342114506498E-2</v>
      </c>
      <c r="AE25" s="241">
        <f>C25*AG25</f>
        <v>8.5509160531738821</v>
      </c>
      <c r="AF25" s="74">
        <f>W25/AN$2</f>
        <v>0.28591021195581395</v>
      </c>
      <c r="AG25" s="74">
        <f>Y25/AO$2</f>
        <v>0.26721612666168382</v>
      </c>
      <c r="AP25">
        <v>1359</v>
      </c>
      <c r="AQ25">
        <v>1363</v>
      </c>
      <c r="AR25">
        <f t="shared" si="8"/>
        <v>-4</v>
      </c>
      <c r="AS25">
        <v>196</v>
      </c>
      <c r="AT25" s="119">
        <v>183.46063000000001</v>
      </c>
      <c r="AU25">
        <f t="shared" si="9"/>
        <v>1163</v>
      </c>
      <c r="AV25" s="119">
        <f t="shared" si="10"/>
        <v>1179.53937</v>
      </c>
      <c r="AW25" s="23">
        <v>0.18725</v>
      </c>
      <c r="AX25" s="23">
        <f t="shared" si="11"/>
        <v>0.18713250572101928</v>
      </c>
      <c r="AY25" s="23">
        <f t="shared" si="12"/>
        <v>0.17806668325935041</v>
      </c>
      <c r="AZ25" s="34">
        <v>1928697</v>
      </c>
      <c r="BA25" s="77">
        <v>1928697</v>
      </c>
      <c r="BB25" s="119">
        <v>149572.01999999999</v>
      </c>
      <c r="BC25" s="34">
        <v>173460.51</v>
      </c>
      <c r="BD25" s="119">
        <f t="shared" si="13"/>
        <v>1779124.98</v>
      </c>
      <c r="BE25" s="119">
        <f t="shared" si="14"/>
        <v>1755236.49</v>
      </c>
      <c r="BF25" s="23">
        <v>4.0834900000000003</v>
      </c>
      <c r="BG25" s="23">
        <f t="shared" si="16"/>
        <v>4.083491453779029</v>
      </c>
      <c r="BH25" s="23">
        <f t="shared" si="15"/>
        <v>4.016146873818645</v>
      </c>
    </row>
    <row r="26" spans="1:60" x14ac:dyDescent="0.25">
      <c r="A26" s="7" t="s">
        <v>135</v>
      </c>
      <c r="B26" s="7" t="s">
        <v>113</v>
      </c>
      <c r="C26" s="10">
        <f t="shared" si="0"/>
        <v>33</v>
      </c>
      <c r="D26" s="8">
        <v>2</v>
      </c>
      <c r="E26">
        <v>0</v>
      </c>
      <c r="F26" s="8">
        <v>23</v>
      </c>
      <c r="G26" s="8">
        <v>7</v>
      </c>
      <c r="H26" s="8">
        <v>1</v>
      </c>
      <c r="I26" s="100">
        <v>442.5</v>
      </c>
      <c r="J26" s="38">
        <v>392.5</v>
      </c>
      <c r="K26" s="95">
        <f t="shared" si="17"/>
        <v>13.409090909090908</v>
      </c>
      <c r="L26" s="98">
        <v>11.893939393939394</v>
      </c>
      <c r="M26" s="98">
        <f>L26/L31</f>
        <v>7.0331537221579102E-2</v>
      </c>
      <c r="N26" s="99">
        <f>K26/K31</f>
        <v>7.2921295506011216E-2</v>
      </c>
      <c r="O26" s="77">
        <v>0</v>
      </c>
      <c r="P26" s="34">
        <v>0</v>
      </c>
      <c r="Q26" s="34">
        <f t="shared" si="2"/>
        <v>0</v>
      </c>
      <c r="R26" s="77">
        <f t="shared" si="3"/>
        <v>0</v>
      </c>
      <c r="S26" s="23">
        <f>R26/R31</f>
        <v>0</v>
      </c>
      <c r="T26" s="23">
        <f>Q26/Q31</f>
        <v>0</v>
      </c>
      <c r="U26" s="23">
        <f t="shared" si="4"/>
        <v>4.2198922332947461E-2</v>
      </c>
      <c r="V26" s="23">
        <f t="shared" si="5"/>
        <v>4.375277730360673E-2</v>
      </c>
      <c r="W26" s="26">
        <f t="shared" si="18"/>
        <v>-0.19244928194394567</v>
      </c>
      <c r="X26" s="23">
        <v>-0.20599999999999999</v>
      </c>
      <c r="Y26" s="26">
        <f t="shared" si="19"/>
        <v>-0.22256242543859034</v>
      </c>
      <c r="Z26" s="37"/>
      <c r="AA26" s="37"/>
      <c r="AB26" s="37"/>
      <c r="AC26" s="37"/>
      <c r="AD26" s="36"/>
      <c r="AE26" s="59"/>
      <c r="AF26" s="36"/>
      <c r="AG26" s="74"/>
      <c r="AP26">
        <v>885</v>
      </c>
      <c r="AQ26">
        <v>885</v>
      </c>
      <c r="AR26">
        <f t="shared" si="8"/>
        <v>0</v>
      </c>
      <c r="AS26">
        <v>202</v>
      </c>
      <c r="AT26" s="119">
        <v>189.19377</v>
      </c>
      <c r="AU26">
        <f t="shared" si="9"/>
        <v>683</v>
      </c>
      <c r="AV26" s="119">
        <f t="shared" si="10"/>
        <v>695.80623000000003</v>
      </c>
      <c r="AW26" s="23">
        <v>-0.10668</v>
      </c>
      <c r="AX26" s="23">
        <f t="shared" si="11"/>
        <v>-0.10672879006771331</v>
      </c>
      <c r="AY26" s="23">
        <f t="shared" si="12"/>
        <v>-0.11238681822169914</v>
      </c>
      <c r="AZ26" s="34">
        <v>0</v>
      </c>
      <c r="BA26" s="77">
        <v>0</v>
      </c>
      <c r="BB26" s="119">
        <v>153885.43</v>
      </c>
      <c r="BC26" s="34">
        <v>177714.32</v>
      </c>
      <c r="BD26" s="119">
        <f t="shared" si="13"/>
        <v>-153885.43</v>
      </c>
      <c r="BE26" s="119">
        <f t="shared" si="14"/>
        <v>-177714.32</v>
      </c>
      <c r="BF26" s="23">
        <v>-0.32102999999999998</v>
      </c>
      <c r="BG26" s="23">
        <f t="shared" si="16"/>
        <v>-0.32103001975829421</v>
      </c>
      <c r="BH26" s="23">
        <f t="shared" si="15"/>
        <v>-0.38782583626392708</v>
      </c>
    </row>
    <row r="27" spans="1:60" x14ac:dyDescent="0.25">
      <c r="A27" s="9" t="s">
        <v>140</v>
      </c>
      <c r="B27" s="9" t="s">
        <v>107</v>
      </c>
      <c r="C27" s="10">
        <f t="shared" si="0"/>
        <v>23</v>
      </c>
      <c r="D27">
        <v>0</v>
      </c>
      <c r="E27">
        <v>6</v>
      </c>
      <c r="F27">
        <v>6</v>
      </c>
      <c r="G27">
        <v>6</v>
      </c>
      <c r="H27">
        <v>5</v>
      </c>
      <c r="I27" s="100">
        <v>22.5</v>
      </c>
      <c r="J27" s="38">
        <v>38.5</v>
      </c>
      <c r="K27" s="95">
        <f t="shared" si="17"/>
        <v>0.97826086956521741</v>
      </c>
      <c r="L27" s="98">
        <v>1.673913043478261</v>
      </c>
      <c r="M27" s="98">
        <f>L27/L31</f>
        <v>9.898224097481723E-3</v>
      </c>
      <c r="N27" s="99">
        <f>K27/K31</f>
        <v>5.3199766065549822E-3</v>
      </c>
      <c r="O27" s="77">
        <v>0</v>
      </c>
      <c r="P27" s="34">
        <v>0</v>
      </c>
      <c r="Q27" s="34">
        <f t="shared" si="2"/>
        <v>0</v>
      </c>
      <c r="R27" s="77">
        <f t="shared" si="3"/>
        <v>0</v>
      </c>
      <c r="S27" s="23">
        <f>R27/R31</f>
        <v>0</v>
      </c>
      <c r="T27" s="23">
        <f>Q27/Q31</f>
        <v>0</v>
      </c>
      <c r="U27" s="23">
        <f t="shared" si="4"/>
        <v>5.9389344584890339E-3</v>
      </c>
      <c r="V27" s="23">
        <f t="shared" si="5"/>
        <v>3.191985963932989E-3</v>
      </c>
      <c r="W27" s="26">
        <f t="shared" si="18"/>
        <v>-0.43881721813122399</v>
      </c>
      <c r="X27" s="23">
        <v>-0.39300000000000002</v>
      </c>
      <c r="Y27" s="26">
        <f t="shared" si="19"/>
        <v>-0.46482030297702592</v>
      </c>
      <c r="Z27" s="37"/>
      <c r="AA27" s="37"/>
      <c r="AB27" s="37"/>
      <c r="AC27" s="37"/>
      <c r="AD27" s="36"/>
      <c r="AE27" s="59"/>
      <c r="AF27" s="36"/>
      <c r="AG27" s="36"/>
      <c r="AP27">
        <v>45</v>
      </c>
      <c r="AQ27">
        <v>44</v>
      </c>
      <c r="AR27">
        <f t="shared" si="8"/>
        <v>1</v>
      </c>
      <c r="AS27">
        <v>141</v>
      </c>
      <c r="AT27" s="119">
        <v>131.86232999999999</v>
      </c>
      <c r="AU27">
        <f t="shared" si="9"/>
        <v>-96</v>
      </c>
      <c r="AV27" s="119">
        <f t="shared" si="10"/>
        <v>-87.862329999999986</v>
      </c>
      <c r="AW27" s="23">
        <v>-0.58348</v>
      </c>
      <c r="AX27" s="23">
        <f t="shared" si="11"/>
        <v>-0.58364118469151061</v>
      </c>
      <c r="AY27" s="23">
        <f t="shared" si="12"/>
        <v>-0.58293402375864467</v>
      </c>
      <c r="AZ27" s="34">
        <v>0</v>
      </c>
      <c r="BA27" s="77">
        <v>0</v>
      </c>
      <c r="BB27" s="119">
        <v>110240.4</v>
      </c>
      <c r="BC27" s="34">
        <v>133745.95000000001</v>
      </c>
      <c r="BD27" s="119">
        <f t="shared" si="13"/>
        <v>-110240.4</v>
      </c>
      <c r="BE27" s="119">
        <f t="shared" si="14"/>
        <v>-133745.95000000001</v>
      </c>
      <c r="BF27" s="23">
        <v>-0.22158</v>
      </c>
      <c r="BG27" s="23">
        <f t="shared" si="16"/>
        <v>-0.22158126829079397</v>
      </c>
      <c r="BH27" s="23">
        <f t="shared" si="15"/>
        <v>-0.2876497218045978</v>
      </c>
    </row>
    <row r="28" spans="1:60" ht="15.75" thickBot="1" x14ac:dyDescent="0.3">
      <c r="A28" s="7" t="s">
        <v>141</v>
      </c>
      <c r="B28" s="7" t="s">
        <v>142</v>
      </c>
      <c r="C28" s="10">
        <f t="shared" si="0"/>
        <v>10</v>
      </c>
      <c r="D28">
        <v>0</v>
      </c>
      <c r="E28">
        <v>0</v>
      </c>
      <c r="F28">
        <v>0</v>
      </c>
      <c r="G28">
        <v>0</v>
      </c>
      <c r="H28">
        <v>10</v>
      </c>
      <c r="I28" s="101">
        <v>47</v>
      </c>
      <c r="J28" s="102">
        <v>48.5</v>
      </c>
      <c r="K28" s="103">
        <f t="shared" si="17"/>
        <v>4.7</v>
      </c>
      <c r="L28" s="104">
        <v>4.8499999999999996</v>
      </c>
      <c r="M28" s="104">
        <f>L28/L31</f>
        <v>2.8679140209716521E-2</v>
      </c>
      <c r="N28" s="105">
        <f>K28/K31</f>
        <v>2.5559532051937495E-2</v>
      </c>
      <c r="O28" s="77">
        <v>0</v>
      </c>
      <c r="P28" s="34">
        <v>0</v>
      </c>
      <c r="Q28" s="34">
        <f t="shared" si="2"/>
        <v>0</v>
      </c>
      <c r="R28" s="77">
        <f t="shared" si="3"/>
        <v>0</v>
      </c>
      <c r="S28" s="23">
        <f>R28/R31</f>
        <v>0</v>
      </c>
      <c r="T28" s="23">
        <f>Q28/Q31</f>
        <v>0</v>
      </c>
      <c r="U28" s="23">
        <f t="shared" si="4"/>
        <v>1.7207484125829911E-2</v>
      </c>
      <c r="V28" s="23">
        <f t="shared" si="5"/>
        <v>1.5335719231162497E-2</v>
      </c>
      <c r="W28" s="26">
        <f t="shared" si="18"/>
        <v>-0.33749902970084872</v>
      </c>
      <c r="X28" s="23">
        <v>-0.35199999999999998</v>
      </c>
      <c r="Y28" s="26">
        <f t="shared" si="19"/>
        <v>-0.36133266820260401</v>
      </c>
      <c r="Z28" s="37"/>
      <c r="AA28" s="37"/>
      <c r="AB28" s="37"/>
      <c r="AC28" s="37"/>
      <c r="AD28" s="36"/>
      <c r="AE28" s="59"/>
      <c r="AF28" s="36"/>
      <c r="AG28" s="36"/>
      <c r="AP28">
        <v>94</v>
      </c>
      <c r="AQ28">
        <v>94</v>
      </c>
      <c r="AR28">
        <f t="shared" si="8"/>
        <v>0</v>
      </c>
      <c r="AS28">
        <v>61</v>
      </c>
      <c r="AT28" s="119">
        <v>57.331449999999997</v>
      </c>
      <c r="AU28">
        <f t="shared" si="9"/>
        <v>33</v>
      </c>
      <c r="AV28" s="119">
        <f t="shared" si="10"/>
        <v>36.668550000000003</v>
      </c>
      <c r="AW28" s="23">
        <v>-0.50480999999999998</v>
      </c>
      <c r="AX28" s="23">
        <f t="shared" si="11"/>
        <v>-0.50466596144828868</v>
      </c>
      <c r="AY28" s="23">
        <f t="shared" si="12"/>
        <v>-0.50816050268354029</v>
      </c>
      <c r="AZ28" s="34">
        <v>0</v>
      </c>
      <c r="BA28" s="77">
        <v>0</v>
      </c>
      <c r="BB28" s="119">
        <v>51066.46</v>
      </c>
      <c r="BC28" s="34">
        <v>69419.72</v>
      </c>
      <c r="BD28" s="119">
        <f t="shared" si="13"/>
        <v>-51066.46</v>
      </c>
      <c r="BE28" s="119">
        <f t="shared" si="14"/>
        <v>-69419.72</v>
      </c>
      <c r="BF28" s="23">
        <v>-8.6749999999999994E-2</v>
      </c>
      <c r="BG28" s="23">
        <f t="shared" si="16"/>
        <v>-8.6748632079688873E-2</v>
      </c>
      <c r="BH28" s="23">
        <f t="shared" si="15"/>
        <v>-0.14109091648119959</v>
      </c>
    </row>
    <row r="29" spans="1:60" x14ac:dyDescent="0.25">
      <c r="C29" s="1">
        <f t="shared" ref="C29:J29" si="20">SUM(C3:C28)</f>
        <v>1325</v>
      </c>
      <c r="D29" s="1">
        <f t="shared" si="20"/>
        <v>209</v>
      </c>
      <c r="E29" s="1">
        <f t="shared" si="20"/>
        <v>199</v>
      </c>
      <c r="F29" s="1">
        <f t="shared" si="20"/>
        <v>443</v>
      </c>
      <c r="G29" s="1">
        <f t="shared" si="20"/>
        <v>273</v>
      </c>
      <c r="H29" s="1">
        <f t="shared" si="20"/>
        <v>201</v>
      </c>
      <c r="I29" s="76">
        <f>SUM(I3:I28)</f>
        <v>14327</v>
      </c>
      <c r="J29" s="17">
        <f t="shared" si="20"/>
        <v>14297.5</v>
      </c>
      <c r="K29" s="31">
        <f t="shared" si="17"/>
        <v>10.812830188679245</v>
      </c>
      <c r="L29" s="31">
        <v>10.790566037735848</v>
      </c>
      <c r="M29" s="31">
        <f>SUM(M3:M28)</f>
        <v>1.0000000000000004</v>
      </c>
      <c r="N29" s="31">
        <f>SUM(N3:N28)</f>
        <v>1</v>
      </c>
      <c r="O29" s="35">
        <f>SUM(O3:O28)</f>
        <v>5671241</v>
      </c>
      <c r="P29" s="35">
        <f>SUM(P3:P28)</f>
        <v>5082907</v>
      </c>
      <c r="Q29" s="35">
        <f t="shared" si="2"/>
        <v>4280.181886792453</v>
      </c>
      <c r="R29" s="35">
        <f t="shared" si="3"/>
        <v>3836.1562264150944</v>
      </c>
      <c r="S29" s="31">
        <f>SUM(S3:S28)</f>
        <v>1</v>
      </c>
      <c r="T29" s="31">
        <f>SUM(T3:T28)</f>
        <v>1</v>
      </c>
      <c r="U29" s="31">
        <f>SUM(U3:U28)</f>
        <v>0.99999999999999989</v>
      </c>
      <c r="V29" s="31">
        <f>SUM(V3:V28)</f>
        <v>1</v>
      </c>
      <c r="W29" s="31"/>
      <c r="X29" s="31"/>
      <c r="Y29" s="31"/>
      <c r="Z29" s="50">
        <f>SUM(Z3:Z28)</f>
        <v>5749355.4246362336</v>
      </c>
      <c r="AA29" s="50">
        <f>SUM(AA3:AA28)</f>
        <v>5859135.9433210781</v>
      </c>
      <c r="AB29" s="50"/>
      <c r="AC29" s="50">
        <f>SUM(AC3:AC28)</f>
        <v>150.89962449683364</v>
      </c>
      <c r="AD29" s="50">
        <f>SUM(AD3:AD28)</f>
        <v>1.0000000000000002</v>
      </c>
      <c r="AE29" s="240">
        <f>SUM(AE3:AE28)</f>
        <v>155.54626665950585</v>
      </c>
      <c r="AF29" s="239">
        <f>SUM(AF3:AF28)</f>
        <v>1</v>
      </c>
      <c r="AG29" s="239">
        <f>SUM(AG3:AG28)</f>
        <v>0.99999999999999989</v>
      </c>
      <c r="AP29" s="1">
        <f>SUM(AP3:AP28)</f>
        <v>28658</v>
      </c>
      <c r="AQ29" s="1">
        <f>SUM(AQ3:AQ28)</f>
        <v>28765</v>
      </c>
      <c r="AR29">
        <f t="shared" si="8"/>
        <v>-107</v>
      </c>
      <c r="AV29" s="119"/>
      <c r="AZ29" s="55">
        <f>SUM(AZ3:AZ28)</f>
        <v>5347944</v>
      </c>
      <c r="BA29" s="55">
        <f>SUM(BA3:BA28)</f>
        <v>5530171.4699999997</v>
      </c>
      <c r="BB29" s="161"/>
      <c r="BC29" s="161"/>
    </row>
    <row r="30" spans="1:60" x14ac:dyDescent="0.25">
      <c r="L30" s="24" t="s">
        <v>156</v>
      </c>
      <c r="AR30" s="163">
        <f>(AP29/AQ29)*100</f>
        <v>99.628020163393018</v>
      </c>
      <c r="AS30" s="1" t="s">
        <v>320</v>
      </c>
      <c r="AT30" s="1"/>
      <c r="AU30" s="119">
        <f>AVERAGE(AU3:AU11,AU13,AU14,AU16:AU28)</f>
        <v>857.33333333333337</v>
      </c>
      <c r="AV30" s="119">
        <f>AVERAGE(AV3:AV11,AV13,AV14,AV16:AV28)</f>
        <v>882.97983333333343</v>
      </c>
      <c r="AW30" s="119"/>
      <c r="BB30" s="1" t="s">
        <v>319</v>
      </c>
      <c r="BC30" s="1"/>
      <c r="BD30" s="119">
        <f>AVERAGE(BD3:BD11,BD13,BD14,BD16:BD28)</f>
        <v>-12995.125833333323</v>
      </c>
      <c r="BE30" s="119">
        <f>AVERAGE(BE3:BE11,BE13,BE14,BE16:BE28)</f>
        <v>-7493.4049999999806</v>
      </c>
    </row>
    <row r="31" spans="1:60" ht="18.75" x14ac:dyDescent="0.3">
      <c r="A31" s="14"/>
      <c r="K31" s="23">
        <f>SUM(K3:K28)</f>
        <v>183.88443068713087</v>
      </c>
      <c r="L31" s="23">
        <f>SUM(L3:L28)</f>
        <v>169.11246168937851</v>
      </c>
      <c r="Q31" s="36">
        <f>SUM(Q3:Q28)</f>
        <v>133639.65619512193</v>
      </c>
      <c r="R31" s="36">
        <f>SUM(R3:R28)</f>
        <v>85324.447916442223</v>
      </c>
      <c r="AS31" s="1" t="s">
        <v>316</v>
      </c>
      <c r="AT31" s="1"/>
      <c r="AU31">
        <f>STDEV(AU3:AU11,AU13,AU14,AU16:AU28)</f>
        <v>1633.4236828013213</v>
      </c>
      <c r="AV31">
        <f>STDEV(AV3:AV11,AV13,AV14,AV16:AV28)</f>
        <v>1665.4408968506127</v>
      </c>
      <c r="BB31" s="1" t="s">
        <v>316</v>
      </c>
      <c r="BC31" s="1"/>
      <c r="BD31">
        <f>STDEV(BD3:BD11,BD13,BD14,BD16:BD28)</f>
        <v>438869.56202022475</v>
      </c>
      <c r="BE31">
        <f>STDEV(BE3:BE11,BE13,BE14,BE16:BE28)</f>
        <v>438910.71476774849</v>
      </c>
    </row>
    <row r="32" spans="1:60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  <row r="37" spans="1:1" ht="18.75" x14ac:dyDescent="0.3">
      <c r="A37" s="14"/>
    </row>
    <row r="38" spans="1:1" ht="18.75" x14ac:dyDescent="0.3">
      <c r="A38" s="14"/>
    </row>
    <row r="39" spans="1:1" ht="18.75" x14ac:dyDescent="0.3">
      <c r="A39" s="14"/>
    </row>
    <row r="40" spans="1:1" ht="18.75" x14ac:dyDescent="0.3">
      <c r="A40" s="14"/>
    </row>
    <row r="41" spans="1:1" ht="18.75" x14ac:dyDescent="0.3">
      <c r="A41" s="14"/>
    </row>
    <row r="42" spans="1:1" ht="18.75" x14ac:dyDescent="0.3">
      <c r="A42" s="14"/>
    </row>
    <row r="43" spans="1:1" ht="18.75" x14ac:dyDescent="0.3">
      <c r="A43" s="14"/>
    </row>
    <row r="44" spans="1:1" ht="18.75" x14ac:dyDescent="0.3">
      <c r="A44" s="14"/>
    </row>
    <row r="45" spans="1:1" ht="18.75" x14ac:dyDescent="0.3">
      <c r="A45" s="14"/>
    </row>
    <row r="46" spans="1:1" ht="18.75" x14ac:dyDescent="0.3">
      <c r="A46" s="14"/>
    </row>
    <row r="47" spans="1:1" ht="18.75" x14ac:dyDescent="0.3">
      <c r="A47" s="14"/>
    </row>
    <row r="48" spans="1:1" ht="18.75" x14ac:dyDescent="0.3">
      <c r="A48" s="14"/>
    </row>
    <row r="49" spans="1:1" ht="18.75" x14ac:dyDescent="0.3">
      <c r="A49" s="14"/>
    </row>
    <row r="50" spans="1:1" ht="18.75" x14ac:dyDescent="0.3">
      <c r="A50" s="14"/>
    </row>
    <row r="51" spans="1:1" ht="18.75" x14ac:dyDescent="0.3">
      <c r="A51" s="14"/>
    </row>
    <row r="52" spans="1:1" ht="18.75" x14ac:dyDescent="0.3">
      <c r="A52" s="14"/>
    </row>
    <row r="53" spans="1:1" ht="18.75" x14ac:dyDescent="0.3">
      <c r="A53" s="14"/>
    </row>
    <row r="54" spans="1:1" ht="18.75" x14ac:dyDescent="0.3">
      <c r="A54" s="14"/>
    </row>
    <row r="55" spans="1:1" ht="18.75" x14ac:dyDescent="0.3">
      <c r="A55" s="14"/>
    </row>
  </sheetData>
  <dataValidations disablePrompts="1" count="1">
    <dataValidation type="list" showInputMessage="1" showErrorMessage="1" sqref="D1:H1">
      <formula1>$A$31:$A$55</formula1>
    </dataValidation>
  </dataValidations>
  <pageMargins left="0.75" right="0.75" top="1" bottom="1" header="0.5" footer="0.5"/>
  <pageSetup paperSize="9" orientation="portrait" r:id="rId1"/>
  <ignoredErrors>
    <ignoredError sqref="C3 C4:C29 L31" formulaRange="1"/>
    <ignoredError sqref="R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0"/>
  <sheetViews>
    <sheetView workbookViewId="0">
      <pane ySplit="2" topLeftCell="A3" activePane="bottomLeft" state="frozen"/>
      <selection pane="bottomLeft" activeCell="AF3" sqref="AF3"/>
    </sheetView>
  </sheetViews>
  <sheetFormatPr defaultColWidth="8.7109375" defaultRowHeight="15" x14ac:dyDescent="0.25"/>
  <cols>
    <col min="1" max="1" width="43.85546875" customWidth="1"/>
    <col min="2" max="2" width="44" customWidth="1"/>
    <col min="3" max="3" width="9" style="1" customWidth="1"/>
    <col min="4" max="4" width="24.7109375" hidden="1" customWidth="1"/>
    <col min="5" max="5" width="17.28515625" hidden="1" customWidth="1"/>
    <col min="6" max="6" width="15.28515625" hidden="1" customWidth="1"/>
    <col min="7" max="7" width="10" hidden="1" customWidth="1"/>
    <col min="8" max="8" width="15.5703125" hidden="1" customWidth="1"/>
    <col min="9" max="9" width="17" hidden="1" customWidth="1"/>
    <col min="10" max="10" width="12.7109375" hidden="1" customWidth="1"/>
    <col min="11" max="11" width="8.7109375" hidden="1" customWidth="1"/>
    <col min="12" max="12" width="13.28515625" style="16" hidden="1" customWidth="1"/>
    <col min="13" max="14" width="16.42578125" hidden="1" customWidth="1"/>
    <col min="15" max="15" width="16.28515625" style="16" hidden="1" customWidth="1"/>
    <col min="16" max="17" width="13.85546875" style="16" hidden="1" customWidth="1"/>
    <col min="18" max="18" width="20.140625" style="16" hidden="1" customWidth="1"/>
    <col min="19" max="19" width="20.140625" hidden="1" customWidth="1"/>
    <col min="20" max="21" width="14.7109375" hidden="1" customWidth="1"/>
    <col min="22" max="23" width="13.85546875" hidden="1" customWidth="1"/>
    <col min="24" max="25" width="14" hidden="1" customWidth="1"/>
    <col min="26" max="26" width="22.7109375" customWidth="1"/>
    <col min="27" max="27" width="15.140625" bestFit="1" customWidth="1"/>
    <col min="28" max="28" width="14.140625" hidden="1" customWidth="1"/>
    <col min="29" max="29" width="12.85546875" bestFit="1" customWidth="1"/>
    <col min="30" max="30" width="16.42578125" bestFit="1" customWidth="1"/>
    <col min="31" max="31" width="11.140625" hidden="1" customWidth="1"/>
    <col min="32" max="32" width="12.42578125" style="16" bestFit="1" customWidth="1"/>
    <col min="33" max="33" width="11.140625" customWidth="1"/>
    <col min="34" max="34" width="11.7109375" hidden="1" customWidth="1"/>
    <col min="35" max="35" width="12.7109375" bestFit="1" customWidth="1"/>
    <col min="36" max="36" width="11.140625" bestFit="1" customWidth="1"/>
    <col min="37" max="37" width="8.7109375" hidden="1" customWidth="1"/>
    <col min="38" max="38" width="12.140625" hidden="1" customWidth="1"/>
    <col min="39" max="39" width="13.140625" bestFit="1" customWidth="1"/>
    <col min="40" max="40" width="12.28515625" bestFit="1" customWidth="1"/>
    <col min="41" max="41" width="10" bestFit="1" customWidth="1"/>
    <col min="42" max="42" width="17.42578125" bestFit="1" customWidth="1"/>
    <col min="43" max="43" width="7.140625" bestFit="1" customWidth="1"/>
    <col min="45" max="45" width="16.28515625" customWidth="1"/>
    <col min="47" max="47" width="16.85546875" customWidth="1"/>
    <col min="48" max="48" width="11.28515625" bestFit="1" customWidth="1"/>
    <col min="49" max="49" width="19.7109375" bestFit="1" customWidth="1"/>
    <col min="50" max="50" width="9.5703125" bestFit="1" customWidth="1"/>
    <col min="51" max="51" width="17.42578125" bestFit="1" customWidth="1"/>
    <col min="53" max="53" width="15.85546875" bestFit="1" customWidth="1"/>
    <col min="54" max="54" width="11.7109375" bestFit="1" customWidth="1"/>
    <col min="55" max="55" width="16.5703125" bestFit="1" customWidth="1"/>
    <col min="57" max="57" width="14.7109375" bestFit="1" customWidth="1"/>
    <col min="58" max="58" width="19.28515625" customWidth="1"/>
  </cols>
  <sheetData>
    <row r="1" spans="1:58" ht="60" x14ac:dyDescent="0.25">
      <c r="C1" s="2" t="s">
        <v>144</v>
      </c>
      <c r="D1" s="4" t="s">
        <v>9</v>
      </c>
      <c r="E1" s="4" t="s">
        <v>15</v>
      </c>
      <c r="F1" s="4" t="s">
        <v>16</v>
      </c>
      <c r="G1" s="4" t="s">
        <v>19</v>
      </c>
      <c r="H1" s="4" t="s">
        <v>20</v>
      </c>
      <c r="I1" s="4" t="s">
        <v>21</v>
      </c>
      <c r="J1" s="4" t="s">
        <v>22</v>
      </c>
      <c r="K1" s="45" t="s">
        <v>27</v>
      </c>
      <c r="L1" s="85" t="s">
        <v>159</v>
      </c>
      <c r="M1" s="86" t="s">
        <v>159</v>
      </c>
      <c r="N1" s="87" t="s">
        <v>152</v>
      </c>
      <c r="O1" s="88" t="s">
        <v>152</v>
      </c>
      <c r="P1" s="88"/>
      <c r="Q1" s="89"/>
      <c r="R1" s="21" t="s">
        <v>153</v>
      </c>
      <c r="S1" s="21" t="s">
        <v>153</v>
      </c>
      <c r="T1" s="21"/>
      <c r="U1" s="21"/>
      <c r="V1" s="21"/>
      <c r="W1" s="21"/>
      <c r="AJ1" s="66"/>
      <c r="AN1" t="s">
        <v>181</v>
      </c>
    </row>
    <row r="2" spans="1:58" x14ac:dyDescent="0.25">
      <c r="A2" s="84" t="s">
        <v>0</v>
      </c>
      <c r="B2" s="84" t="s">
        <v>1</v>
      </c>
      <c r="C2" s="6"/>
      <c r="L2" s="90" t="s">
        <v>185</v>
      </c>
      <c r="M2" s="91" t="s">
        <v>193</v>
      </c>
      <c r="N2" s="91" t="s">
        <v>188</v>
      </c>
      <c r="O2" s="91" t="s">
        <v>187</v>
      </c>
      <c r="P2" s="92" t="s">
        <v>189</v>
      </c>
      <c r="Q2" s="93" t="s">
        <v>190</v>
      </c>
      <c r="R2" s="1" t="s">
        <v>171</v>
      </c>
      <c r="S2" s="1" t="s">
        <v>170</v>
      </c>
      <c r="T2" s="1" t="s">
        <v>191</v>
      </c>
      <c r="U2" s="1" t="s">
        <v>192</v>
      </c>
      <c r="V2" s="1" t="s">
        <v>189</v>
      </c>
      <c r="W2" s="1" t="s">
        <v>190</v>
      </c>
      <c r="X2" s="1" t="s">
        <v>176</v>
      </c>
      <c r="Y2" s="1" t="s">
        <v>177</v>
      </c>
      <c r="Z2" s="1" t="s">
        <v>261</v>
      </c>
      <c r="AA2" s="1" t="s">
        <v>175</v>
      </c>
      <c r="AB2" s="1" t="s">
        <v>174</v>
      </c>
      <c r="AC2" s="1" t="s">
        <v>262</v>
      </c>
      <c r="AD2" s="145" t="s">
        <v>345</v>
      </c>
      <c r="AE2" s="1" t="s">
        <v>178</v>
      </c>
      <c r="AF2" s="245" t="s">
        <v>344</v>
      </c>
      <c r="AG2" s="1" t="s">
        <v>182</v>
      </c>
      <c r="AH2" s="1" t="s">
        <v>179</v>
      </c>
      <c r="AI2" s="1" t="s">
        <v>200</v>
      </c>
      <c r="AJ2" s="1" t="s">
        <v>163</v>
      </c>
      <c r="AK2" s="1" t="s">
        <v>2</v>
      </c>
      <c r="AL2" s="26"/>
      <c r="AM2" s="39" t="s">
        <v>184</v>
      </c>
      <c r="AN2" s="25">
        <f>SUM(Z3,Z10,Z11,Z17,Z20,Z21,Z22,Z26,Z33,Z34)</f>
        <v>9.3600398139600181</v>
      </c>
      <c r="AO2" s="1" t="s">
        <v>239</v>
      </c>
      <c r="AP2" s="1" t="s">
        <v>263</v>
      </c>
      <c r="AQ2" s="1" t="s">
        <v>256</v>
      </c>
      <c r="AR2" s="1" t="s">
        <v>240</v>
      </c>
      <c r="AS2" s="1" t="s">
        <v>257</v>
      </c>
      <c r="AT2" s="1" t="s">
        <v>241</v>
      </c>
      <c r="AU2" s="1" t="s">
        <v>258</v>
      </c>
      <c r="AV2" s="1" t="s">
        <v>242</v>
      </c>
      <c r="AW2" s="1" t="s">
        <v>259</v>
      </c>
      <c r="AX2" s="1" t="s">
        <v>243</v>
      </c>
      <c r="AY2" s="1" t="s">
        <v>328</v>
      </c>
      <c r="AZ2" s="1" t="s">
        <v>244</v>
      </c>
      <c r="BA2" s="1" t="s">
        <v>336</v>
      </c>
      <c r="BB2" s="1" t="s">
        <v>245</v>
      </c>
      <c r="BC2" s="1" t="s">
        <v>337</v>
      </c>
      <c r="BD2" s="1" t="s">
        <v>246</v>
      </c>
      <c r="BE2" s="1" t="s">
        <v>338</v>
      </c>
      <c r="BF2" s="1" t="s">
        <v>260</v>
      </c>
    </row>
    <row r="3" spans="1:58" x14ac:dyDescent="0.25">
      <c r="A3" s="9" t="s">
        <v>3</v>
      </c>
      <c r="B3" s="9" t="s">
        <v>34</v>
      </c>
      <c r="C3" s="1">
        <f t="shared" ref="C3:C44" si="0">SUM(D3:K3)</f>
        <v>30</v>
      </c>
      <c r="D3">
        <v>0</v>
      </c>
      <c r="E3" s="8">
        <v>30</v>
      </c>
      <c r="F3">
        <v>0</v>
      </c>
      <c r="G3">
        <v>0</v>
      </c>
      <c r="H3">
        <v>0</v>
      </c>
      <c r="I3" s="8">
        <v>0</v>
      </c>
      <c r="J3">
        <v>0</v>
      </c>
      <c r="K3">
        <v>0</v>
      </c>
      <c r="L3" s="106">
        <v>208</v>
      </c>
      <c r="M3" s="71">
        <v>175.5</v>
      </c>
      <c r="N3" s="96">
        <f t="shared" ref="N3:N44" si="1">L3/C3</f>
        <v>6.9333333333333336</v>
      </c>
      <c r="O3" s="98">
        <v>5.85</v>
      </c>
      <c r="P3" s="107">
        <f>O3/O46</f>
        <v>5.3247724647931309E-2</v>
      </c>
      <c r="Q3" s="108">
        <f t="shared" ref="Q3:Q43" si="2">N3/N$46</f>
        <v>3.5920996111675305E-2</v>
      </c>
      <c r="R3" s="77">
        <v>398452</v>
      </c>
      <c r="S3" s="34">
        <v>430290</v>
      </c>
      <c r="T3" s="34">
        <f t="shared" ref="T3:T44" si="3">R3/C3</f>
        <v>13281.733333333334</v>
      </c>
      <c r="U3" s="34">
        <f t="shared" ref="U3:U44" si="4">S3/C3</f>
        <v>14343</v>
      </c>
      <c r="V3" s="48">
        <f>U3/U46</f>
        <v>0.1165028994213001</v>
      </c>
      <c r="W3" s="48">
        <f t="shared" ref="W3:W43" si="5">T3/T$46</f>
        <v>0.12245690644005019</v>
      </c>
      <c r="X3" s="48">
        <f>(0.6*P3)+(0.4*V3)</f>
        <v>7.8549794557278826E-2</v>
      </c>
      <c r="Y3" s="48">
        <f>(0.6*Q3)+(0.4*W3)</f>
        <v>7.0535360243025258E-2</v>
      </c>
      <c r="Z3" s="25">
        <f t="shared" ref="Z3:Z15" si="6">(0.6*AW3)+(0.4*BE3)</f>
        <v>0.46599048281882866</v>
      </c>
      <c r="AA3" s="26">
        <v>0.39300000000000002</v>
      </c>
      <c r="AB3" s="73">
        <v>0.60099999999999998</v>
      </c>
      <c r="AC3" s="242">
        <v>0</v>
      </c>
      <c r="AD3" s="67">
        <f>AG3*AM$3</f>
        <v>80374.206284261221</v>
      </c>
      <c r="AE3" s="70"/>
      <c r="AF3" s="70">
        <f>AD3-AC3</f>
        <v>80374.206284261221</v>
      </c>
      <c r="AG3" s="67">
        <f>C3*AI3</f>
        <v>1.4935528867852501</v>
      </c>
      <c r="AH3" s="23" t="e">
        <f>AB3/AM2</f>
        <v>#VALUE!</v>
      </c>
      <c r="AI3" s="23">
        <f>Z3/AN$2</f>
        <v>4.9785096226175003E-2</v>
      </c>
      <c r="AJ3" s="37">
        <v>5152235.8581983019</v>
      </c>
      <c r="AK3" s="51">
        <v>539</v>
      </c>
      <c r="AL3" s="58"/>
      <c r="AM3" s="80">
        <f>AJ3/AG44</f>
        <v>53814.101258416165</v>
      </c>
      <c r="AO3">
        <v>416</v>
      </c>
      <c r="AP3">
        <v>419</v>
      </c>
      <c r="AQ3">
        <f t="shared" ref="AQ3:AQ15" si="7">AO3-AP3</f>
        <v>-3</v>
      </c>
      <c r="AR3">
        <v>161</v>
      </c>
      <c r="AS3">
        <v>150</v>
      </c>
      <c r="AT3">
        <f>AO3-AR3</f>
        <v>255</v>
      </c>
      <c r="AU3">
        <v>269</v>
      </c>
      <c r="AV3" s="23">
        <v>0.185</v>
      </c>
      <c r="AW3" s="23">
        <v>0.109</v>
      </c>
      <c r="AX3" s="34">
        <v>398452</v>
      </c>
      <c r="AY3" s="77">
        <v>425272.83999999997</v>
      </c>
      <c r="AZ3">
        <v>79541</v>
      </c>
      <c r="BA3" s="34">
        <v>83945.99</v>
      </c>
      <c r="BB3">
        <f>AX3-AZ3</f>
        <v>318911</v>
      </c>
      <c r="BC3" s="34">
        <f>AY3-BA3</f>
        <v>341326.85</v>
      </c>
      <c r="BD3" s="23">
        <v>0.70499999999999996</v>
      </c>
      <c r="BE3" s="23">
        <f>(BC3-BC$45)/BC$46</f>
        <v>1.0014762070470715</v>
      </c>
      <c r="BF3" s="23">
        <f>(0.6*AW3)+(0.4*BD3)</f>
        <v>0.34739999999999999</v>
      </c>
    </row>
    <row r="4" spans="1:58" x14ac:dyDescent="0.25">
      <c r="A4" s="9" t="s">
        <v>3</v>
      </c>
      <c r="B4" s="9" t="s">
        <v>35</v>
      </c>
      <c r="C4" s="1">
        <f t="shared" si="0"/>
        <v>50</v>
      </c>
      <c r="D4">
        <v>0</v>
      </c>
      <c r="E4" s="8">
        <v>0</v>
      </c>
      <c r="F4">
        <v>0</v>
      </c>
      <c r="G4">
        <v>0</v>
      </c>
      <c r="H4">
        <v>0</v>
      </c>
      <c r="I4" s="8">
        <v>50</v>
      </c>
      <c r="J4">
        <v>0</v>
      </c>
      <c r="K4">
        <v>0</v>
      </c>
      <c r="L4" s="106">
        <v>405</v>
      </c>
      <c r="M4" s="71">
        <v>217</v>
      </c>
      <c r="N4" s="96">
        <f t="shared" si="1"/>
        <v>8.1</v>
      </c>
      <c r="O4" s="98">
        <v>4.34</v>
      </c>
      <c r="P4" s="107">
        <f>O4/O46</f>
        <v>3.9503440166157588E-2</v>
      </c>
      <c r="Q4" s="108">
        <f t="shared" si="2"/>
        <v>4.1965394495851439E-2</v>
      </c>
      <c r="R4" s="77">
        <v>0</v>
      </c>
      <c r="S4" s="34">
        <v>2135</v>
      </c>
      <c r="T4" s="34">
        <f t="shared" si="3"/>
        <v>0</v>
      </c>
      <c r="U4" s="34">
        <f t="shared" si="4"/>
        <v>42.7</v>
      </c>
      <c r="V4" s="48">
        <f>U4/U46</f>
        <v>3.4683635259635467E-4</v>
      </c>
      <c r="W4" s="48">
        <f t="shared" si="5"/>
        <v>0</v>
      </c>
      <c r="X4" s="48">
        <f t="shared" ref="X4:X43" si="8">(0.6*P4)+(0.4*V4)</f>
        <v>2.3840798640733095E-2</v>
      </c>
      <c r="Y4" s="48">
        <f t="shared" ref="Y4:Y43" si="9">(0.6*Q4)+(0.4*W4)</f>
        <v>2.5179236697510862E-2</v>
      </c>
      <c r="Z4" s="26">
        <f t="shared" si="6"/>
        <v>0.41499957057107395</v>
      </c>
      <c r="AA4" s="26">
        <v>0.59099999999999997</v>
      </c>
      <c r="AB4">
        <v>9.2999999999999999E-2</v>
      </c>
      <c r="AC4" s="243">
        <v>125899.75620189447</v>
      </c>
      <c r="AD4" s="70">
        <v>0</v>
      </c>
      <c r="AE4" s="69"/>
      <c r="AF4" s="70">
        <f>AD4-AC4</f>
        <v>-125899.75620189447</v>
      </c>
      <c r="AG4" s="70"/>
      <c r="AH4" s="23"/>
      <c r="AI4" s="23"/>
      <c r="AK4" s="52">
        <f>AK3/C44</f>
        <v>0.23024348568987613</v>
      </c>
      <c r="AL4" s="39" t="s">
        <v>166</v>
      </c>
      <c r="AO4">
        <v>910</v>
      </c>
      <c r="AP4">
        <v>871</v>
      </c>
      <c r="AQ4">
        <f t="shared" si="7"/>
        <v>39</v>
      </c>
      <c r="AR4">
        <v>268</v>
      </c>
      <c r="AS4">
        <v>251</v>
      </c>
      <c r="AT4">
        <f t="shared" ref="AT4:AT43" si="10">AO4-AR4</f>
        <v>642</v>
      </c>
      <c r="AU4">
        <v>620</v>
      </c>
      <c r="AV4" s="25">
        <v>1.2010000000000001</v>
      </c>
      <c r="AW4" s="23">
        <v>0.97099999999999997</v>
      </c>
      <c r="AX4" s="34">
        <v>0</v>
      </c>
      <c r="AY4" s="77">
        <v>0</v>
      </c>
      <c r="AZ4">
        <v>139354</v>
      </c>
      <c r="BA4" s="34">
        <v>140448.95000000001</v>
      </c>
      <c r="BB4">
        <f t="shared" ref="BB4:BB15" si="11">AX4-AZ4</f>
        <v>-139354</v>
      </c>
      <c r="BC4" s="34">
        <f t="shared" ref="BC4:BC43" si="12">AY4-BA4</f>
        <v>-140448.95000000001</v>
      </c>
      <c r="BD4" s="23">
        <v>-0.32100000000000001</v>
      </c>
      <c r="BE4" s="23">
        <f t="shared" ref="BE4:BE43" si="13">(BC4-BC$45)/BC$46</f>
        <v>-0.41900107357231503</v>
      </c>
      <c r="BF4" s="23">
        <f t="shared" ref="BF4:BF43" si="14">(0.6*AW4)+(0.4*BD4)</f>
        <v>0.45419999999999999</v>
      </c>
    </row>
    <row r="5" spans="1:58" x14ac:dyDescent="0.25">
      <c r="A5" s="7" t="s">
        <v>43</v>
      </c>
      <c r="B5" s="7" t="s">
        <v>44</v>
      </c>
      <c r="C5" s="1">
        <f t="shared" si="0"/>
        <v>10</v>
      </c>
      <c r="D5">
        <v>10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106">
        <v>23</v>
      </c>
      <c r="M5" s="71">
        <v>11</v>
      </c>
      <c r="N5" s="96">
        <f t="shared" si="1"/>
        <v>2.2999999999999998</v>
      </c>
      <c r="O5" s="98">
        <v>1.1000000000000001</v>
      </c>
      <c r="P5" s="107">
        <f>O5/O46</f>
        <v>1.0012392668841786E-2</v>
      </c>
      <c r="Q5" s="108">
        <f t="shared" si="2"/>
        <v>1.1916099671661519E-2</v>
      </c>
      <c r="R5" s="77">
        <v>188988</v>
      </c>
      <c r="S5" s="34">
        <v>250887</v>
      </c>
      <c r="T5" s="34">
        <f t="shared" si="3"/>
        <v>18898.8</v>
      </c>
      <c r="U5" s="34">
        <f t="shared" si="4"/>
        <v>25088.7</v>
      </c>
      <c r="V5" s="48">
        <f>U5/U46</f>
        <v>0.20378625759681879</v>
      </c>
      <c r="W5" s="48">
        <f t="shared" si="5"/>
        <v>0.17424597568308509</v>
      </c>
      <c r="X5" s="48">
        <f>(0.6*P5)+(0.4*V5)</f>
        <v>8.752193864003259E-2</v>
      </c>
      <c r="Y5" s="48">
        <f t="shared" si="9"/>
        <v>7.6848050076230939E-2</v>
      </c>
      <c r="Z5" s="26">
        <f t="shared" si="6"/>
        <v>-0.14838994661466756</v>
      </c>
      <c r="AA5" s="26">
        <v>-0.159</v>
      </c>
      <c r="AB5">
        <v>-6.5000000000000002E-2</v>
      </c>
      <c r="AC5" s="242"/>
      <c r="AD5" s="70"/>
      <c r="AE5" s="70"/>
      <c r="AF5" s="70"/>
      <c r="AG5" s="70"/>
      <c r="AH5" s="23"/>
      <c r="AI5" s="23"/>
      <c r="AK5">
        <v>790</v>
      </c>
      <c r="AO5">
        <v>46</v>
      </c>
      <c r="AP5">
        <v>46</v>
      </c>
      <c r="AQ5">
        <f t="shared" si="7"/>
        <v>0</v>
      </c>
      <c r="AR5">
        <v>54</v>
      </c>
      <c r="AS5">
        <v>50</v>
      </c>
      <c r="AT5">
        <f t="shared" si="10"/>
        <v>-8</v>
      </c>
      <c r="AU5">
        <v>-4</v>
      </c>
      <c r="AV5" s="23">
        <v>-0.505</v>
      </c>
      <c r="AW5" s="23">
        <v>-0.56100000000000005</v>
      </c>
      <c r="AX5" s="34">
        <v>188988</v>
      </c>
      <c r="AY5" s="77">
        <v>188998.54</v>
      </c>
      <c r="AZ5">
        <v>23814</v>
      </c>
      <c r="BA5" s="34">
        <v>27751.57</v>
      </c>
      <c r="BB5">
        <f t="shared" si="11"/>
        <v>165174</v>
      </c>
      <c r="BC5" s="34">
        <f t="shared" si="12"/>
        <v>161246.97</v>
      </c>
      <c r="BD5" s="23">
        <v>0.36</v>
      </c>
      <c r="BE5" s="23">
        <f t="shared" si="13"/>
        <v>0.47052513346333108</v>
      </c>
      <c r="BF5" s="23">
        <f t="shared" si="14"/>
        <v>-0.19260000000000002</v>
      </c>
    </row>
    <row r="6" spans="1:58" x14ac:dyDescent="0.25">
      <c r="A6" s="9" t="s">
        <v>43</v>
      </c>
      <c r="B6" s="9" t="s">
        <v>45</v>
      </c>
      <c r="C6" s="1">
        <f t="shared" si="0"/>
        <v>87</v>
      </c>
      <c r="D6">
        <v>87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s="106">
        <v>35.5</v>
      </c>
      <c r="M6" s="71">
        <v>29.5</v>
      </c>
      <c r="N6" s="96">
        <f t="shared" si="1"/>
        <v>0.40804597701149425</v>
      </c>
      <c r="O6" s="98">
        <v>0.33908045977011492</v>
      </c>
      <c r="P6" s="107">
        <f>O6/O46</f>
        <v>3.0863697359543637E-3</v>
      </c>
      <c r="Q6" s="108">
        <f t="shared" si="2"/>
        <v>2.1140506663867263E-3</v>
      </c>
      <c r="R6" s="77">
        <v>0</v>
      </c>
      <c r="S6" s="34">
        <v>0</v>
      </c>
      <c r="T6" s="34">
        <f t="shared" si="3"/>
        <v>0</v>
      </c>
      <c r="U6" s="34">
        <f t="shared" si="4"/>
        <v>0</v>
      </c>
      <c r="V6" s="48">
        <f>U6/U46</f>
        <v>0</v>
      </c>
      <c r="W6" s="48">
        <f t="shared" si="5"/>
        <v>0</v>
      </c>
      <c r="X6" s="48">
        <f t="shared" si="8"/>
        <v>1.851821841572618E-3</v>
      </c>
      <c r="Y6" s="48">
        <f t="shared" si="9"/>
        <v>1.2684303998320358E-3</v>
      </c>
      <c r="Z6" s="26">
        <f t="shared" si="6"/>
        <v>-1.0577332993277446</v>
      </c>
      <c r="AA6" s="26">
        <v>-1.147</v>
      </c>
      <c r="AB6">
        <v>-1.1100000000000001</v>
      </c>
      <c r="AC6" s="244"/>
      <c r="AD6" s="37"/>
      <c r="AE6" s="37"/>
      <c r="AF6" s="69"/>
      <c r="AG6" s="37"/>
      <c r="AH6" s="23"/>
      <c r="AI6" s="23"/>
      <c r="AJ6" s="37"/>
      <c r="AO6">
        <v>71</v>
      </c>
      <c r="AP6">
        <v>71</v>
      </c>
      <c r="AQ6">
        <f t="shared" si="7"/>
        <v>0</v>
      </c>
      <c r="AR6">
        <v>467</v>
      </c>
      <c r="AS6">
        <v>436</v>
      </c>
      <c r="AT6">
        <f t="shared" si="10"/>
        <v>-396</v>
      </c>
      <c r="AU6">
        <v>-365</v>
      </c>
      <c r="AV6" s="23">
        <v>-1.5229999999999999</v>
      </c>
      <c r="AW6" s="23">
        <v>-1.4470000000000001</v>
      </c>
      <c r="AX6" s="34">
        <v>0</v>
      </c>
      <c r="AY6" s="77">
        <v>86356</v>
      </c>
      <c r="AZ6">
        <v>255965</v>
      </c>
      <c r="BA6" s="34">
        <v>245402.09</v>
      </c>
      <c r="BB6">
        <f t="shared" si="11"/>
        <v>-255965</v>
      </c>
      <c r="BC6" s="34">
        <f t="shared" si="12"/>
        <v>-159046.09</v>
      </c>
      <c r="BD6" s="23">
        <v>-0.58399999999999996</v>
      </c>
      <c r="BE6" s="23">
        <f t="shared" si="13"/>
        <v>-0.4738332483193613</v>
      </c>
      <c r="BF6" s="23">
        <f t="shared" si="14"/>
        <v>-1.1017999999999999</v>
      </c>
    </row>
    <row r="7" spans="1:58" x14ac:dyDescent="0.25">
      <c r="A7" s="7" t="s">
        <v>43</v>
      </c>
      <c r="B7" s="7" t="s">
        <v>46</v>
      </c>
      <c r="C7" s="1">
        <f t="shared" si="0"/>
        <v>182</v>
      </c>
      <c r="D7">
        <v>0</v>
      </c>
      <c r="E7">
        <v>0</v>
      </c>
      <c r="F7">
        <v>57</v>
      </c>
      <c r="G7">
        <v>79</v>
      </c>
      <c r="H7">
        <v>0</v>
      </c>
      <c r="I7">
        <v>33</v>
      </c>
      <c r="J7">
        <v>13</v>
      </c>
      <c r="K7">
        <v>0</v>
      </c>
      <c r="L7" s="106">
        <v>715.5</v>
      </c>
      <c r="M7" s="71">
        <v>555</v>
      </c>
      <c r="N7" s="96">
        <f t="shared" si="1"/>
        <v>3.9313186813186811</v>
      </c>
      <c r="O7" s="98">
        <v>3.0494505494505493</v>
      </c>
      <c r="P7" s="107">
        <f>O7/O46</f>
        <v>2.7756633023012938E-2</v>
      </c>
      <c r="Q7" s="108">
        <f t="shared" si="2"/>
        <v>2.0367819672894926E-2</v>
      </c>
      <c r="R7" s="77">
        <v>104888</v>
      </c>
      <c r="S7" s="34">
        <v>39742</v>
      </c>
      <c r="T7" s="34">
        <f t="shared" si="3"/>
        <v>576.30769230769226</v>
      </c>
      <c r="U7" s="34">
        <f t="shared" si="4"/>
        <v>218.36263736263737</v>
      </c>
      <c r="V7" s="48">
        <f>U7/U46</f>
        <v>1.7736791729783985E-3</v>
      </c>
      <c r="W7" s="48">
        <f t="shared" si="5"/>
        <v>5.3135276387824108E-3</v>
      </c>
      <c r="X7" s="48">
        <f t="shared" si="8"/>
        <v>1.7363451482999122E-2</v>
      </c>
      <c r="Y7" s="48">
        <f t="shared" si="9"/>
        <v>1.4346102859249921E-2</v>
      </c>
      <c r="Z7" s="26">
        <f t="shared" si="6"/>
        <v>0.1017063629518824</v>
      </c>
      <c r="AA7" s="26">
        <v>-1E-3</v>
      </c>
      <c r="AB7">
        <v>9.6000000000000002E-2</v>
      </c>
      <c r="AC7" s="244"/>
      <c r="AD7" s="37"/>
      <c r="AE7" s="37"/>
      <c r="AF7" s="69"/>
      <c r="AG7" s="37"/>
      <c r="AH7" s="23"/>
      <c r="AI7" s="23"/>
      <c r="AO7">
        <v>1431</v>
      </c>
      <c r="AP7">
        <v>1452</v>
      </c>
      <c r="AQ7">
        <f t="shared" si="7"/>
        <v>-21</v>
      </c>
      <c r="AR7">
        <v>977</v>
      </c>
      <c r="AS7">
        <v>912</v>
      </c>
      <c r="AT7">
        <f t="shared" si="10"/>
        <v>454</v>
      </c>
      <c r="AU7">
        <v>540</v>
      </c>
      <c r="AV7" s="25">
        <v>0.70699999999999996</v>
      </c>
      <c r="AW7" s="23">
        <v>0.77400000000000002</v>
      </c>
      <c r="AX7" s="34">
        <v>104888</v>
      </c>
      <c r="AY7" s="77">
        <v>210359</v>
      </c>
      <c r="AZ7">
        <v>575521</v>
      </c>
      <c r="BA7" s="34">
        <v>516229.79</v>
      </c>
      <c r="BB7">
        <f t="shared" si="11"/>
        <v>-470633</v>
      </c>
      <c r="BC7" s="34">
        <f t="shared" si="12"/>
        <v>-305870.78999999998</v>
      </c>
      <c r="BD7" s="23">
        <v>-1.0649999999999999</v>
      </c>
      <c r="BE7" s="23">
        <f t="shared" si="13"/>
        <v>-0.90673409262029392</v>
      </c>
      <c r="BF7" s="23">
        <f t="shared" si="14"/>
        <v>3.839999999999999E-2</v>
      </c>
    </row>
    <row r="8" spans="1:58" x14ac:dyDescent="0.25">
      <c r="A8" s="9" t="s">
        <v>43</v>
      </c>
      <c r="B8" s="9" t="s">
        <v>47</v>
      </c>
      <c r="C8" s="1">
        <f t="shared" si="0"/>
        <v>149</v>
      </c>
      <c r="D8">
        <v>149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s="106">
        <v>278</v>
      </c>
      <c r="M8" s="71">
        <v>160</v>
      </c>
      <c r="N8" s="96">
        <f t="shared" si="1"/>
        <v>1.8657718120805369</v>
      </c>
      <c r="O8" s="98">
        <v>1.0738255033557047</v>
      </c>
      <c r="P8" s="107">
        <f>O8/O46</f>
        <v>9.7741478158309067E-3</v>
      </c>
      <c r="Q8" s="108">
        <f t="shared" si="2"/>
        <v>9.6664012510122629E-3</v>
      </c>
      <c r="R8" s="77">
        <v>133101</v>
      </c>
      <c r="S8" s="34">
        <v>62295</v>
      </c>
      <c r="T8" s="34">
        <f t="shared" si="3"/>
        <v>893.29530201342277</v>
      </c>
      <c r="U8" s="34">
        <f t="shared" si="4"/>
        <v>418.08724832214767</v>
      </c>
      <c r="V8" s="48">
        <f>U8/U46</f>
        <v>3.395968531032789E-3</v>
      </c>
      <c r="W8" s="48">
        <f t="shared" si="5"/>
        <v>8.2361372929733636E-3</v>
      </c>
      <c r="X8" s="48">
        <f t="shared" si="8"/>
        <v>7.2228761019116593E-3</v>
      </c>
      <c r="Y8" s="48">
        <f t="shared" si="9"/>
        <v>9.0942956677967021E-3</v>
      </c>
      <c r="Z8" s="26">
        <f t="shared" si="6"/>
        <v>-1.2653309901327079</v>
      </c>
      <c r="AA8" s="26">
        <v>-0.97299999999999998</v>
      </c>
      <c r="AB8">
        <v>-1.18</v>
      </c>
      <c r="AC8" s="244"/>
      <c r="AD8" s="37"/>
      <c r="AE8" s="37"/>
      <c r="AF8" s="69"/>
      <c r="AG8" s="37"/>
      <c r="AH8" s="23"/>
      <c r="AI8" s="23"/>
      <c r="AO8">
        <v>556</v>
      </c>
      <c r="AP8">
        <v>361</v>
      </c>
      <c r="AQ8">
        <f t="shared" si="7"/>
        <v>195</v>
      </c>
      <c r="AR8">
        <v>800</v>
      </c>
      <c r="AS8">
        <v>747</v>
      </c>
      <c r="AT8">
        <f t="shared" si="10"/>
        <v>-244</v>
      </c>
      <c r="AU8">
        <v>-386</v>
      </c>
      <c r="AV8" s="23">
        <v>-1.1240000000000001</v>
      </c>
      <c r="AW8" s="23">
        <v>-1.4990000000000001</v>
      </c>
      <c r="AX8" s="34">
        <v>133101</v>
      </c>
      <c r="AY8" s="77">
        <v>113376</v>
      </c>
      <c r="AZ8">
        <v>462045</v>
      </c>
      <c r="BA8" s="34">
        <v>421991.78</v>
      </c>
      <c r="BB8">
        <f t="shared" si="11"/>
        <v>-328944</v>
      </c>
      <c r="BC8" s="34">
        <f t="shared" si="12"/>
        <v>-308615.78000000003</v>
      </c>
      <c r="BD8" s="23">
        <v>-0.747</v>
      </c>
      <c r="BE8" s="23">
        <f t="shared" si="13"/>
        <v>-0.91482747533176989</v>
      </c>
      <c r="BF8" s="23">
        <f t="shared" si="14"/>
        <v>-1.1981999999999999</v>
      </c>
    </row>
    <row r="9" spans="1:58" x14ac:dyDescent="0.25">
      <c r="A9" s="7" t="s">
        <v>43</v>
      </c>
      <c r="B9" s="7" t="s">
        <v>48</v>
      </c>
      <c r="C9" s="1">
        <f t="shared" si="0"/>
        <v>93</v>
      </c>
      <c r="D9">
        <v>0</v>
      </c>
      <c r="E9">
        <v>0</v>
      </c>
      <c r="F9">
        <v>0</v>
      </c>
      <c r="G9">
        <v>83</v>
      </c>
      <c r="H9">
        <v>0</v>
      </c>
      <c r="I9">
        <v>10</v>
      </c>
      <c r="J9">
        <v>0</v>
      </c>
      <c r="K9">
        <v>0</v>
      </c>
      <c r="L9" s="106">
        <v>109</v>
      </c>
      <c r="M9" s="71">
        <v>87.5</v>
      </c>
      <c r="N9" s="96">
        <f t="shared" si="1"/>
        <v>1.1720430107526882</v>
      </c>
      <c r="O9" s="98">
        <v>0.94086021505376349</v>
      </c>
      <c r="P9" s="107">
        <f>O9/O46</f>
        <v>8.5638744723720052E-3</v>
      </c>
      <c r="Q9" s="108">
        <f t="shared" si="2"/>
        <v>6.0722527546101246E-3</v>
      </c>
      <c r="R9" s="77">
        <v>54022</v>
      </c>
      <c r="S9" s="34">
        <v>28590</v>
      </c>
      <c r="T9" s="34">
        <f t="shared" si="3"/>
        <v>580.88172043010752</v>
      </c>
      <c r="U9" s="34">
        <f t="shared" si="4"/>
        <v>307.41935483870969</v>
      </c>
      <c r="V9" s="48">
        <f>U9/U46</f>
        <v>2.4970540456623553E-3</v>
      </c>
      <c r="W9" s="48">
        <f t="shared" si="5"/>
        <v>5.3556999456480384E-3</v>
      </c>
      <c r="X9" s="48">
        <f t="shared" si="8"/>
        <v>6.1371463016881454E-3</v>
      </c>
      <c r="Y9" s="48">
        <f t="shared" si="9"/>
        <v>5.7856316310252905E-3</v>
      </c>
      <c r="Z9" s="26">
        <f t="shared" si="6"/>
        <v>-0.94378277511316111</v>
      </c>
      <c r="AA9" s="26">
        <v>-0.93500000000000005</v>
      </c>
      <c r="AB9">
        <v>-0.9</v>
      </c>
      <c r="AC9" s="244"/>
      <c r="AD9" s="37"/>
      <c r="AE9" s="37"/>
      <c r="AF9" s="69"/>
      <c r="AG9" s="37"/>
      <c r="AH9" s="23"/>
      <c r="AI9" s="23"/>
      <c r="AO9">
        <v>218</v>
      </c>
      <c r="AP9">
        <v>218</v>
      </c>
      <c r="AQ9">
        <f t="shared" si="7"/>
        <v>0</v>
      </c>
      <c r="AR9">
        <v>499</v>
      </c>
      <c r="AS9">
        <v>466</v>
      </c>
      <c r="AT9">
        <f t="shared" si="10"/>
        <v>-281</v>
      </c>
      <c r="AU9">
        <v>-248</v>
      </c>
      <c r="AV9" s="23">
        <v>-1.2210000000000001</v>
      </c>
      <c r="AW9" s="23">
        <v>-1.1599999999999999</v>
      </c>
      <c r="AX9" s="34">
        <v>54022</v>
      </c>
      <c r="AY9" s="77">
        <v>54021.57</v>
      </c>
      <c r="AZ9">
        <v>275407</v>
      </c>
      <c r="BA9" s="34">
        <v>262458.08</v>
      </c>
      <c r="BB9">
        <f t="shared" si="11"/>
        <v>-221385</v>
      </c>
      <c r="BC9" s="34">
        <f t="shared" si="12"/>
        <v>-208436.51</v>
      </c>
      <c r="BD9" s="23">
        <v>-0.50600000000000001</v>
      </c>
      <c r="BE9" s="23">
        <f t="shared" si="13"/>
        <v>-0.61945693778290301</v>
      </c>
      <c r="BF9" s="23">
        <f t="shared" si="14"/>
        <v>-0.89839999999999998</v>
      </c>
    </row>
    <row r="10" spans="1:58" x14ac:dyDescent="0.25">
      <c r="A10" s="9" t="s">
        <v>43</v>
      </c>
      <c r="B10" s="9" t="s">
        <v>49</v>
      </c>
      <c r="C10" s="1">
        <f t="shared" si="0"/>
        <v>172</v>
      </c>
      <c r="D10">
        <v>0</v>
      </c>
      <c r="E10">
        <v>0</v>
      </c>
      <c r="F10">
        <v>0</v>
      </c>
      <c r="G10">
        <v>0</v>
      </c>
      <c r="H10">
        <v>73</v>
      </c>
      <c r="I10">
        <v>80</v>
      </c>
      <c r="J10">
        <v>19</v>
      </c>
      <c r="K10">
        <v>0</v>
      </c>
      <c r="L10" s="106">
        <v>404</v>
      </c>
      <c r="M10" s="71">
        <v>391</v>
      </c>
      <c r="N10" s="96">
        <f t="shared" si="1"/>
        <v>2.3488372093023258</v>
      </c>
      <c r="O10" s="98">
        <v>2.2732558139534884</v>
      </c>
      <c r="P10" s="107">
        <f>O10/O46</f>
        <v>2.0691572587299884E-2</v>
      </c>
      <c r="Q10" s="108">
        <f t="shared" si="2"/>
        <v>1.216912099937122E-2</v>
      </c>
      <c r="R10" s="77">
        <v>2958741</v>
      </c>
      <c r="S10" s="34">
        <v>2346863</v>
      </c>
      <c r="T10" s="34">
        <f t="shared" si="3"/>
        <v>17201.982558139534</v>
      </c>
      <c r="U10" s="34">
        <f t="shared" si="4"/>
        <v>13644.552325581395</v>
      </c>
      <c r="V10" s="48">
        <f>U10/U46</f>
        <v>0.11082966654367117</v>
      </c>
      <c r="W10" s="48">
        <f t="shared" si="5"/>
        <v>0.1586014050906108</v>
      </c>
      <c r="X10" s="48">
        <f t="shared" si="8"/>
        <v>5.6746810169848401E-2</v>
      </c>
      <c r="Y10" s="48">
        <f t="shared" si="9"/>
        <v>7.0742034635867049E-2</v>
      </c>
      <c r="Z10" s="25">
        <f t="shared" si="6"/>
        <v>1.5846082819052993</v>
      </c>
      <c r="AA10" s="26">
        <v>1.6919999999999999</v>
      </c>
      <c r="AB10" s="73">
        <v>2.0009999999999999</v>
      </c>
      <c r="AC10" s="243">
        <v>1668493.8646040023</v>
      </c>
      <c r="AD10" s="67">
        <f>AG10*AM$3</f>
        <v>1566999.160682356</v>
      </c>
      <c r="AE10" s="67" t="e">
        <f>C10*AH10</f>
        <v>#VALUE!</v>
      </c>
      <c r="AF10" s="70">
        <f>AD10-AC10</f>
        <v>-101494.70392164635</v>
      </c>
      <c r="AG10" s="67">
        <f>C10*AI10</f>
        <v>29.118746277255497</v>
      </c>
      <c r="AH10" s="23" t="e">
        <f>AB10/AM2</f>
        <v>#VALUE!</v>
      </c>
      <c r="AI10" s="23">
        <f>Z10/AN$2</f>
        <v>0.16929503649567149</v>
      </c>
      <c r="AO10">
        <v>808</v>
      </c>
      <c r="AP10">
        <v>806</v>
      </c>
      <c r="AQ10">
        <f t="shared" si="7"/>
        <v>2</v>
      </c>
      <c r="AR10">
        <v>923</v>
      </c>
      <c r="AS10">
        <v>862</v>
      </c>
      <c r="AT10">
        <f t="shared" si="10"/>
        <v>-115</v>
      </c>
      <c r="AU10">
        <v>-56</v>
      </c>
      <c r="AV10" s="23">
        <v>-0.78500000000000003</v>
      </c>
      <c r="AW10" s="23">
        <v>-0.68899999999999995</v>
      </c>
      <c r="AX10" s="34">
        <v>2958741</v>
      </c>
      <c r="AY10" s="77">
        <v>2183454.36</v>
      </c>
      <c r="AZ10">
        <v>540903</v>
      </c>
      <c r="BA10" s="34">
        <v>487658.05</v>
      </c>
      <c r="BB10">
        <f t="shared" si="11"/>
        <v>2417838</v>
      </c>
      <c r="BC10" s="34">
        <f t="shared" si="12"/>
        <v>1695796.3099999998</v>
      </c>
      <c r="BD10" s="23">
        <v>5.4080000000000004</v>
      </c>
      <c r="BE10" s="23">
        <f t="shared" si="13"/>
        <v>4.995020704763248</v>
      </c>
      <c r="BF10" s="23">
        <f t="shared" si="14"/>
        <v>1.7498000000000002</v>
      </c>
    </row>
    <row r="11" spans="1:58" x14ac:dyDescent="0.25">
      <c r="A11" s="9" t="s">
        <v>43</v>
      </c>
      <c r="B11" s="9" t="s">
        <v>50</v>
      </c>
      <c r="C11" s="1">
        <f t="shared" si="0"/>
        <v>23</v>
      </c>
      <c r="D11">
        <v>0</v>
      </c>
      <c r="E11">
        <v>0</v>
      </c>
      <c r="F11">
        <v>0</v>
      </c>
      <c r="G11">
        <v>0</v>
      </c>
      <c r="H11">
        <v>0</v>
      </c>
      <c r="I11">
        <v>23</v>
      </c>
      <c r="J11">
        <v>0</v>
      </c>
      <c r="K11">
        <v>0</v>
      </c>
      <c r="L11" s="106">
        <v>367</v>
      </c>
      <c r="M11" s="71">
        <v>199.5</v>
      </c>
      <c r="N11" s="96">
        <f t="shared" si="1"/>
        <v>15.956521739130435</v>
      </c>
      <c r="O11" s="98">
        <v>8.6739130434782616</v>
      </c>
      <c r="P11" s="107">
        <f>O11/O46</f>
        <v>7.8951475787902611E-2</v>
      </c>
      <c r="Q11" s="108">
        <f t="shared" si="2"/>
        <v>8.2669349328918298E-2</v>
      </c>
      <c r="R11" s="77">
        <v>117508</v>
      </c>
      <c r="S11" s="34">
        <v>250597</v>
      </c>
      <c r="T11" s="34">
        <f t="shared" si="3"/>
        <v>5109.04347826087</v>
      </c>
      <c r="U11" s="34">
        <f t="shared" si="4"/>
        <v>10895.521739130434</v>
      </c>
      <c r="V11" s="48">
        <f>U11/U46</f>
        <v>8.8500304909468155E-2</v>
      </c>
      <c r="W11" s="48">
        <f t="shared" si="5"/>
        <v>4.7105121260443417E-2</v>
      </c>
      <c r="X11" s="48">
        <f t="shared" si="8"/>
        <v>8.2771007436528821E-2</v>
      </c>
      <c r="Y11" s="48">
        <f t="shared" si="9"/>
        <v>6.8443658101528346E-2</v>
      </c>
      <c r="Z11" s="25">
        <f t="shared" si="6"/>
        <v>0.67204125728969311</v>
      </c>
      <c r="AA11" s="26">
        <v>0.72</v>
      </c>
      <c r="AB11" s="73">
        <v>0.58599999999999997</v>
      </c>
      <c r="AC11" s="243">
        <v>80176.690184688632</v>
      </c>
      <c r="AD11" s="67">
        <f>AG11*AM$3</f>
        <v>88867.337183832278</v>
      </c>
      <c r="AE11" s="67" t="e">
        <f>C11*AH11</f>
        <v>#VALUE!</v>
      </c>
      <c r="AF11" s="70">
        <f>AD11-AC11</f>
        <v>8690.6469991436461</v>
      </c>
      <c r="AG11" s="67">
        <f>C11*AI11</f>
        <v>1.6513764070329804</v>
      </c>
      <c r="AH11" s="23" t="e">
        <f>AB11/AM2</f>
        <v>#VALUE!</v>
      </c>
      <c r="AI11" s="23">
        <f>Z11/AN$2</f>
        <v>7.1798974218825237E-2</v>
      </c>
      <c r="AO11">
        <v>734</v>
      </c>
      <c r="AP11">
        <v>734</v>
      </c>
      <c r="AQ11">
        <f t="shared" si="7"/>
        <v>0</v>
      </c>
      <c r="AR11">
        <v>123</v>
      </c>
      <c r="AS11">
        <v>115</v>
      </c>
      <c r="AT11">
        <f t="shared" si="10"/>
        <v>611</v>
      </c>
      <c r="AU11">
        <v>619</v>
      </c>
      <c r="AV11" s="25">
        <v>1.119</v>
      </c>
      <c r="AW11" s="23">
        <v>0.96799999999999997</v>
      </c>
      <c r="AX11" s="34">
        <v>117508</v>
      </c>
      <c r="AY11" s="77">
        <v>143256</v>
      </c>
      <c r="AZ11">
        <v>59418</v>
      </c>
      <c r="BA11" s="34">
        <v>64230.02</v>
      </c>
      <c r="BB11">
        <f t="shared" si="11"/>
        <v>58090</v>
      </c>
      <c r="BC11" s="34">
        <f t="shared" si="12"/>
        <v>79025.98000000001</v>
      </c>
      <c r="BD11" s="23">
        <v>0.12</v>
      </c>
      <c r="BE11" s="23">
        <f t="shared" si="13"/>
        <v>0.22810314322423281</v>
      </c>
      <c r="BF11" s="23">
        <f t="shared" si="14"/>
        <v>0.62880000000000003</v>
      </c>
    </row>
    <row r="12" spans="1:58" x14ac:dyDescent="0.25">
      <c r="A12" s="9" t="s">
        <v>43</v>
      </c>
      <c r="B12" s="9" t="s">
        <v>51</v>
      </c>
      <c r="C12" s="1">
        <f t="shared" si="0"/>
        <v>44</v>
      </c>
      <c r="D12">
        <v>0</v>
      </c>
      <c r="E12">
        <v>0</v>
      </c>
      <c r="F12">
        <v>0</v>
      </c>
      <c r="G12">
        <v>0</v>
      </c>
      <c r="H12">
        <v>0</v>
      </c>
      <c r="I12">
        <v>44</v>
      </c>
      <c r="J12">
        <v>0</v>
      </c>
      <c r="K12">
        <v>0</v>
      </c>
      <c r="L12" s="106">
        <v>77.5</v>
      </c>
      <c r="M12" s="71">
        <v>70.5</v>
      </c>
      <c r="N12" s="96">
        <f t="shared" si="1"/>
        <v>1.7613636363636365</v>
      </c>
      <c r="O12" s="98">
        <v>1.6022727272727273</v>
      </c>
      <c r="P12" s="107">
        <f>O12/O46</f>
        <v>1.4584167007300534E-2</v>
      </c>
      <c r="Q12" s="108">
        <f t="shared" si="2"/>
        <v>9.1254715864996817E-3</v>
      </c>
      <c r="R12" s="77">
        <v>0</v>
      </c>
      <c r="S12" s="34">
        <v>15127</v>
      </c>
      <c r="T12" s="34">
        <f t="shared" si="3"/>
        <v>0</v>
      </c>
      <c r="U12" s="34">
        <f t="shared" si="4"/>
        <v>343.79545454545456</v>
      </c>
      <c r="V12" s="48">
        <f>U12/U46</f>
        <v>2.7925236883782501E-3</v>
      </c>
      <c r="W12" s="48">
        <f t="shared" si="5"/>
        <v>0</v>
      </c>
      <c r="X12" s="48">
        <f t="shared" si="8"/>
        <v>9.86750967973162E-3</v>
      </c>
      <c r="Y12" s="48">
        <f t="shared" si="9"/>
        <v>5.4752829518998087E-3</v>
      </c>
      <c r="Z12" s="26">
        <f t="shared" si="6"/>
        <v>-0.56518332474258859</v>
      </c>
      <c r="AA12" s="26">
        <v>-0.53</v>
      </c>
      <c r="AB12">
        <v>-0.44500000000000001</v>
      </c>
      <c r="AC12" s="244"/>
      <c r="AD12" s="37"/>
      <c r="AE12" s="37"/>
      <c r="AF12" s="69"/>
      <c r="AG12" s="37"/>
      <c r="AH12" s="23"/>
      <c r="AI12" s="23"/>
      <c r="AO12">
        <v>155</v>
      </c>
      <c r="AP12">
        <v>162</v>
      </c>
      <c r="AQ12">
        <f t="shared" si="7"/>
        <v>-7</v>
      </c>
      <c r="AR12">
        <v>236</v>
      </c>
      <c r="AS12">
        <v>221</v>
      </c>
      <c r="AT12">
        <f t="shared" si="10"/>
        <v>-81</v>
      </c>
      <c r="AU12">
        <v>-59</v>
      </c>
      <c r="AV12" s="23">
        <v>-0.69599999999999995</v>
      </c>
      <c r="AW12" s="23">
        <v>-0.69599999999999995</v>
      </c>
      <c r="AX12" s="34">
        <v>0</v>
      </c>
      <c r="AY12" s="77">
        <v>0</v>
      </c>
      <c r="AZ12">
        <v>121109</v>
      </c>
      <c r="BA12" s="34">
        <v>123476.21</v>
      </c>
      <c r="BB12">
        <f t="shared" si="11"/>
        <v>-121109</v>
      </c>
      <c r="BC12" s="34">
        <f t="shared" si="12"/>
        <v>-123476.21</v>
      </c>
      <c r="BD12" s="23">
        <v>-0.28100000000000003</v>
      </c>
      <c r="BE12" s="23">
        <f t="shared" si="13"/>
        <v>-0.36895831185647149</v>
      </c>
      <c r="BF12" s="23">
        <f t="shared" si="14"/>
        <v>-0.53</v>
      </c>
    </row>
    <row r="13" spans="1:58" x14ac:dyDescent="0.25">
      <c r="A13" s="9" t="s">
        <v>52</v>
      </c>
      <c r="B13" s="9" t="s">
        <v>57</v>
      </c>
      <c r="C13" s="1">
        <f t="shared" si="0"/>
        <v>13</v>
      </c>
      <c r="D13">
        <v>0</v>
      </c>
      <c r="E13">
        <v>0</v>
      </c>
      <c r="F13">
        <v>0</v>
      </c>
      <c r="G13">
        <v>0</v>
      </c>
      <c r="H13">
        <v>0</v>
      </c>
      <c r="I13" s="8">
        <v>13</v>
      </c>
      <c r="J13">
        <v>0</v>
      </c>
      <c r="K13">
        <v>0</v>
      </c>
      <c r="L13" s="106">
        <v>8</v>
      </c>
      <c r="M13" s="71">
        <v>10</v>
      </c>
      <c r="N13" s="96">
        <f t="shared" si="1"/>
        <v>0.61538461538461542</v>
      </c>
      <c r="O13" s="98">
        <v>0.76923076923076927</v>
      </c>
      <c r="P13" s="107">
        <f>O13/O46</f>
        <v>7.001673194994255E-3</v>
      </c>
      <c r="Q13" s="108">
        <f t="shared" si="2"/>
        <v>3.1882540927522462E-3</v>
      </c>
      <c r="R13" s="77">
        <v>0</v>
      </c>
      <c r="S13" s="34">
        <v>0</v>
      </c>
      <c r="T13" s="34">
        <f t="shared" si="3"/>
        <v>0</v>
      </c>
      <c r="U13" s="34">
        <f t="shared" si="4"/>
        <v>0</v>
      </c>
      <c r="V13" s="48">
        <f>U13/U46</f>
        <v>0</v>
      </c>
      <c r="W13" s="48">
        <f t="shared" si="5"/>
        <v>0</v>
      </c>
      <c r="X13" s="48">
        <f t="shared" si="8"/>
        <v>4.2010039169965525E-3</v>
      </c>
      <c r="Y13" s="48">
        <f t="shared" si="9"/>
        <v>1.9129524556513477E-3</v>
      </c>
      <c r="Z13" s="26">
        <f t="shared" si="6"/>
        <v>-0.44779166190660746</v>
      </c>
      <c r="AA13" s="26">
        <v>-0.40799999999999997</v>
      </c>
      <c r="AB13">
        <v>-0.372</v>
      </c>
      <c r="AC13" s="244"/>
      <c r="AD13" s="37"/>
      <c r="AE13" s="37"/>
      <c r="AF13" s="69"/>
      <c r="AG13" s="37"/>
      <c r="AH13" s="23"/>
      <c r="AI13" s="23"/>
      <c r="AO13">
        <v>16</v>
      </c>
      <c r="AP13">
        <v>16</v>
      </c>
      <c r="AQ13">
        <f t="shared" si="7"/>
        <v>0</v>
      </c>
      <c r="AR13">
        <v>70</v>
      </c>
      <c r="AS13">
        <v>65</v>
      </c>
      <c r="AT13">
        <f t="shared" si="10"/>
        <v>-54</v>
      </c>
      <c r="AU13">
        <v>-49</v>
      </c>
      <c r="AV13" s="23">
        <v>-0.625</v>
      </c>
      <c r="AW13" s="23">
        <v>-0.67200000000000004</v>
      </c>
      <c r="AX13" s="34">
        <v>0</v>
      </c>
      <c r="AY13" s="77">
        <v>0</v>
      </c>
      <c r="AZ13">
        <v>31763</v>
      </c>
      <c r="BA13" s="34">
        <v>36148.36</v>
      </c>
      <c r="BB13">
        <f t="shared" si="11"/>
        <v>-31763</v>
      </c>
      <c r="BC13" s="34">
        <f t="shared" si="12"/>
        <v>-36148.36</v>
      </c>
      <c r="BD13" s="23">
        <v>-8.1000000000000003E-2</v>
      </c>
      <c r="BE13" s="23">
        <f t="shared" si="13"/>
        <v>-0.11147915476651865</v>
      </c>
      <c r="BF13" s="23">
        <f t="shared" si="14"/>
        <v>-0.43559999999999999</v>
      </c>
    </row>
    <row r="14" spans="1:58" x14ac:dyDescent="0.25">
      <c r="A14" s="9" t="s">
        <v>60</v>
      </c>
      <c r="B14" s="9" t="s">
        <v>61</v>
      </c>
      <c r="C14" s="1">
        <f t="shared" si="0"/>
        <v>72</v>
      </c>
      <c r="D14">
        <v>0</v>
      </c>
      <c r="E14" s="8">
        <v>0</v>
      </c>
      <c r="F14">
        <v>0</v>
      </c>
      <c r="G14" s="8">
        <v>72</v>
      </c>
      <c r="H14">
        <v>0</v>
      </c>
      <c r="I14">
        <v>0</v>
      </c>
      <c r="J14">
        <v>0</v>
      </c>
      <c r="K14">
        <v>0</v>
      </c>
      <c r="L14" s="106">
        <v>71.5</v>
      </c>
      <c r="M14" s="71">
        <v>71.5</v>
      </c>
      <c r="N14" s="96">
        <f t="shared" si="1"/>
        <v>0.99305555555555558</v>
      </c>
      <c r="O14" s="98">
        <v>0.99305555555555558</v>
      </c>
      <c r="P14" s="107">
        <f>O14/O46</f>
        <v>9.0389656038155006E-3</v>
      </c>
      <c r="Q14" s="108">
        <f t="shared" si="2"/>
        <v>5.1449343389118277E-3</v>
      </c>
      <c r="R14" s="77">
        <v>183762</v>
      </c>
      <c r="S14" s="34">
        <v>156335</v>
      </c>
      <c r="T14" s="34">
        <f t="shared" si="3"/>
        <v>2552.25</v>
      </c>
      <c r="U14" s="34">
        <f t="shared" si="4"/>
        <v>2171.3194444444443</v>
      </c>
      <c r="V14" s="48">
        <f>U14/U46</f>
        <v>1.7636827082731947E-2</v>
      </c>
      <c r="W14" s="48">
        <f t="shared" si="5"/>
        <v>2.3531615310874443E-2</v>
      </c>
      <c r="X14" s="48">
        <f t="shared" si="8"/>
        <v>1.2478110195382079E-2</v>
      </c>
      <c r="Y14" s="48">
        <f t="shared" si="9"/>
        <v>1.2499606727696873E-2</v>
      </c>
      <c r="Z14" s="26">
        <f t="shared" si="6"/>
        <v>-0.51363994223646325</v>
      </c>
      <c r="AA14" s="26">
        <v>-0.69799999999999995</v>
      </c>
      <c r="AB14">
        <v>-0.59899999999999998</v>
      </c>
      <c r="AC14" s="244"/>
      <c r="AD14" s="37"/>
      <c r="AE14" s="37"/>
      <c r="AF14" s="69"/>
      <c r="AG14" s="37"/>
      <c r="AH14" s="23"/>
      <c r="AI14" s="23"/>
      <c r="AO14">
        <v>143</v>
      </c>
      <c r="AP14">
        <v>147</v>
      </c>
      <c r="AQ14">
        <f t="shared" si="7"/>
        <v>-4</v>
      </c>
      <c r="AR14">
        <v>386</v>
      </c>
      <c r="AS14">
        <v>361</v>
      </c>
      <c r="AT14">
        <f t="shared" si="10"/>
        <v>-243</v>
      </c>
      <c r="AU14">
        <v>-214</v>
      </c>
      <c r="AV14" s="23">
        <v>-1.121</v>
      </c>
      <c r="AW14" s="23">
        <v>-1.077</v>
      </c>
      <c r="AX14" s="34">
        <v>183762</v>
      </c>
      <c r="AY14" s="77">
        <v>316863</v>
      </c>
      <c r="AZ14">
        <v>207951</v>
      </c>
      <c r="BA14" s="34">
        <v>202802.32</v>
      </c>
      <c r="BB14">
        <f t="shared" si="11"/>
        <v>-24189</v>
      </c>
      <c r="BC14" s="34">
        <f t="shared" si="12"/>
        <v>114060.68</v>
      </c>
      <c r="BD14" s="23">
        <v>-6.4000000000000001E-2</v>
      </c>
      <c r="BE14" s="23">
        <f t="shared" si="13"/>
        <v>0.33140014440884191</v>
      </c>
      <c r="BF14" s="23">
        <f t="shared" si="14"/>
        <v>-0.67179999999999995</v>
      </c>
    </row>
    <row r="15" spans="1:58" x14ac:dyDescent="0.25">
      <c r="A15" s="9" t="s">
        <v>60</v>
      </c>
      <c r="B15" s="9" t="s">
        <v>64</v>
      </c>
      <c r="C15" s="1">
        <f t="shared" si="0"/>
        <v>10</v>
      </c>
      <c r="D15">
        <v>0</v>
      </c>
      <c r="E15" s="8">
        <v>10</v>
      </c>
      <c r="F15">
        <v>0</v>
      </c>
      <c r="G15" s="8">
        <v>0</v>
      </c>
      <c r="H15">
        <v>0</v>
      </c>
      <c r="I15">
        <v>0</v>
      </c>
      <c r="J15">
        <v>0</v>
      </c>
      <c r="K15">
        <v>0</v>
      </c>
      <c r="L15" s="106">
        <v>13</v>
      </c>
      <c r="M15" s="71">
        <v>3.5</v>
      </c>
      <c r="N15" s="96">
        <f t="shared" si="1"/>
        <v>1.3</v>
      </c>
      <c r="O15" s="98">
        <v>0.35</v>
      </c>
      <c r="P15" s="107">
        <f>O15/O46</f>
        <v>3.1857613037223858E-3</v>
      </c>
      <c r="Q15" s="108">
        <f t="shared" si="2"/>
        <v>6.7351867709391196E-3</v>
      </c>
      <c r="R15" s="77">
        <v>0</v>
      </c>
      <c r="S15" s="34">
        <v>36077</v>
      </c>
      <c r="T15" s="34">
        <f t="shared" si="3"/>
        <v>0</v>
      </c>
      <c r="U15" s="34">
        <f t="shared" si="4"/>
        <v>3607.7</v>
      </c>
      <c r="V15" s="48">
        <f>U15/U46</f>
        <v>2.9304016610348208E-2</v>
      </c>
      <c r="W15" s="48">
        <f t="shared" si="5"/>
        <v>0</v>
      </c>
      <c r="X15" s="48">
        <f t="shared" si="8"/>
        <v>1.3633063426372716E-2</v>
      </c>
      <c r="Y15" s="48">
        <f t="shared" si="9"/>
        <v>4.0411120625634712E-3</v>
      </c>
      <c r="Z15" s="26">
        <f t="shared" si="6"/>
        <v>-0.40068875733968479</v>
      </c>
      <c r="AA15" s="26">
        <v>-0.36</v>
      </c>
      <c r="AB15">
        <v>-0.32800000000000001</v>
      </c>
      <c r="AC15" s="244"/>
      <c r="AD15" s="37"/>
      <c r="AE15" s="37"/>
      <c r="AF15" s="69"/>
      <c r="AG15" s="37"/>
      <c r="AH15" s="23"/>
      <c r="AI15" s="23"/>
      <c r="AO15">
        <v>26</v>
      </c>
      <c r="AP15">
        <v>26</v>
      </c>
      <c r="AQ15">
        <f t="shared" si="7"/>
        <v>0</v>
      </c>
      <c r="AR15">
        <v>54</v>
      </c>
      <c r="AS15">
        <v>50</v>
      </c>
      <c r="AT15">
        <f t="shared" si="10"/>
        <v>-28</v>
      </c>
      <c r="AU15">
        <v>-24</v>
      </c>
      <c r="AV15" s="23">
        <v>-0.55700000000000005</v>
      </c>
      <c r="AW15" s="23">
        <v>-0.61</v>
      </c>
      <c r="AX15" s="34">
        <v>0</v>
      </c>
      <c r="AY15" s="77">
        <v>0</v>
      </c>
      <c r="AZ15">
        <v>23814</v>
      </c>
      <c r="BA15" s="34">
        <v>27751.57</v>
      </c>
      <c r="BB15">
        <f t="shared" si="11"/>
        <v>-23814</v>
      </c>
      <c r="BC15" s="34">
        <f t="shared" si="12"/>
        <v>-27751.57</v>
      </c>
      <c r="BD15" s="23">
        <v>-6.3E-2</v>
      </c>
      <c r="BE15" s="23">
        <f t="shared" si="13"/>
        <v>-8.6721893349211959E-2</v>
      </c>
      <c r="BF15" s="23">
        <f t="shared" si="14"/>
        <v>-0.39119999999999999</v>
      </c>
    </row>
    <row r="16" spans="1:58" x14ac:dyDescent="0.25">
      <c r="A16" s="7" t="s">
        <v>68</v>
      </c>
      <c r="B16" s="7" t="s">
        <v>69</v>
      </c>
      <c r="C16" s="53">
        <f t="shared" si="0"/>
        <v>3</v>
      </c>
      <c r="D16" s="8">
        <v>0</v>
      </c>
      <c r="E16" s="8">
        <v>1</v>
      </c>
      <c r="F16" s="8">
        <v>0</v>
      </c>
      <c r="G16" s="8">
        <v>1</v>
      </c>
      <c r="H16" s="8">
        <v>0</v>
      </c>
      <c r="I16" s="8">
        <v>0</v>
      </c>
      <c r="J16" s="8">
        <v>1</v>
      </c>
      <c r="K16">
        <v>0</v>
      </c>
      <c r="L16" s="106"/>
      <c r="M16" s="71">
        <v>0</v>
      </c>
      <c r="N16" s="96">
        <f t="shared" si="1"/>
        <v>0</v>
      </c>
      <c r="O16" s="98">
        <v>0</v>
      </c>
      <c r="P16" s="107">
        <f>O16/O46</f>
        <v>0</v>
      </c>
      <c r="Q16" s="108">
        <f t="shared" si="2"/>
        <v>0</v>
      </c>
      <c r="R16" s="77">
        <v>0</v>
      </c>
      <c r="S16" s="34">
        <v>0</v>
      </c>
      <c r="T16" s="34">
        <f t="shared" si="3"/>
        <v>0</v>
      </c>
      <c r="U16" s="34">
        <f t="shared" si="4"/>
        <v>0</v>
      </c>
      <c r="V16" s="48">
        <f>U16/U46</f>
        <v>0</v>
      </c>
      <c r="W16" s="48">
        <f t="shared" si="5"/>
        <v>0</v>
      </c>
      <c r="X16" s="48">
        <f t="shared" si="8"/>
        <v>0</v>
      </c>
      <c r="Y16" s="48">
        <f t="shared" si="9"/>
        <v>0</v>
      </c>
      <c r="Z16" s="26"/>
      <c r="AA16" s="26"/>
      <c r="AC16" s="244"/>
      <c r="AD16" s="37"/>
      <c r="AE16" s="37"/>
      <c r="AF16" s="69"/>
      <c r="AG16" s="37"/>
      <c r="AH16" s="23"/>
      <c r="AI16" s="23"/>
      <c r="AV16" s="23"/>
      <c r="AX16" s="34"/>
      <c r="AY16" s="77">
        <v>0</v>
      </c>
      <c r="BF16" s="23">
        <f t="shared" si="14"/>
        <v>0</v>
      </c>
    </row>
    <row r="17" spans="1:58" x14ac:dyDescent="0.25">
      <c r="A17" s="9" t="s">
        <v>68</v>
      </c>
      <c r="B17" s="9" t="s">
        <v>70</v>
      </c>
      <c r="C17" s="1">
        <f t="shared" si="0"/>
        <v>50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50</v>
      </c>
      <c r="K17">
        <v>0</v>
      </c>
      <c r="L17" s="106">
        <v>560.5</v>
      </c>
      <c r="M17" s="71">
        <v>444.5</v>
      </c>
      <c r="N17" s="96">
        <f t="shared" si="1"/>
        <v>11.21</v>
      </c>
      <c r="O17" s="98">
        <v>8.89</v>
      </c>
      <c r="P17" s="107">
        <f>O17/O46</f>
        <v>8.0918337114548614E-2</v>
      </c>
      <c r="Q17" s="108">
        <f t="shared" si="2"/>
        <v>5.8078033617098103E-2</v>
      </c>
      <c r="R17" s="77">
        <v>0</v>
      </c>
      <c r="S17" s="34">
        <v>0</v>
      </c>
      <c r="T17" s="34">
        <f t="shared" si="3"/>
        <v>0</v>
      </c>
      <c r="U17" s="34">
        <f t="shared" si="4"/>
        <v>0</v>
      </c>
      <c r="V17" s="48">
        <f>U17/U46</f>
        <v>0</v>
      </c>
      <c r="W17" s="48">
        <f t="shared" si="5"/>
        <v>0</v>
      </c>
      <c r="X17" s="48">
        <f t="shared" si="8"/>
        <v>4.8551002268729167E-2</v>
      </c>
      <c r="Y17" s="48">
        <f t="shared" si="9"/>
        <v>3.4846820170258863E-2</v>
      </c>
      <c r="Z17" s="25">
        <f t="shared" ref="Z17:Z28" si="15">(0.6*AW17)+(0.4*BE17)</f>
        <v>0.79059957057107388</v>
      </c>
      <c r="AA17" s="26">
        <v>0.92400000000000004</v>
      </c>
      <c r="AB17" s="73">
        <v>1.05</v>
      </c>
      <c r="AC17" s="243">
        <v>229901.49228060603</v>
      </c>
      <c r="AD17" s="67">
        <f>AG17*AM$3</f>
        <v>227271.4977243891</v>
      </c>
      <c r="AE17" s="67" t="e">
        <f>C17*AH17</f>
        <v>#VALUE!</v>
      </c>
      <c r="AF17" s="70">
        <f>AD17-AC17</f>
        <v>-2629.9945562169305</v>
      </c>
      <c r="AG17" s="67">
        <f>C17*AI17</f>
        <v>4.2232703401108154</v>
      </c>
      <c r="AH17" s="23" t="e">
        <f>AB17/AM2</f>
        <v>#VALUE!</v>
      </c>
      <c r="AI17" s="23">
        <f>Z17/AN$2</f>
        <v>8.44654068022163E-2</v>
      </c>
      <c r="AO17">
        <v>1121</v>
      </c>
      <c r="AP17">
        <v>1126</v>
      </c>
      <c r="AQ17">
        <f t="shared" ref="AQ17:AQ28" si="16">AO17-AP17</f>
        <v>-5</v>
      </c>
      <c r="AR17">
        <v>268</v>
      </c>
      <c r="AS17">
        <v>251</v>
      </c>
      <c r="AT17">
        <f t="shared" si="10"/>
        <v>853</v>
      </c>
      <c r="AU17">
        <v>875</v>
      </c>
      <c r="AV17" s="25">
        <v>1.754</v>
      </c>
      <c r="AW17" s="23">
        <v>1.597</v>
      </c>
      <c r="AX17" s="34">
        <v>0</v>
      </c>
      <c r="AY17" s="77">
        <v>0</v>
      </c>
      <c r="AZ17">
        <v>139354</v>
      </c>
      <c r="BA17" s="34">
        <v>140448.95000000001</v>
      </c>
      <c r="BB17">
        <f t="shared" ref="BB17:BB28" si="17">AX16-AZ17</f>
        <v>-139354</v>
      </c>
      <c r="BC17" s="34">
        <f t="shared" si="12"/>
        <v>-140448.95000000001</v>
      </c>
      <c r="BD17" s="23">
        <v>-0.32200000000000001</v>
      </c>
      <c r="BE17" s="23">
        <f t="shared" si="13"/>
        <v>-0.41900107357231503</v>
      </c>
      <c r="BF17" s="23">
        <f t="shared" si="14"/>
        <v>0.82939999999999992</v>
      </c>
    </row>
    <row r="18" spans="1:58" x14ac:dyDescent="0.25">
      <c r="A18" s="7" t="s">
        <v>68</v>
      </c>
      <c r="B18" s="7" t="s">
        <v>71</v>
      </c>
      <c r="C18" s="1">
        <f t="shared" si="0"/>
        <v>24</v>
      </c>
      <c r="D18" s="8">
        <v>0</v>
      </c>
      <c r="E18" s="8">
        <v>0</v>
      </c>
      <c r="F18" s="8">
        <v>0</v>
      </c>
      <c r="G18" s="8">
        <v>20</v>
      </c>
      <c r="H18" s="8">
        <v>0</v>
      </c>
      <c r="I18" s="8">
        <v>0</v>
      </c>
      <c r="J18" s="8">
        <v>4</v>
      </c>
      <c r="K18">
        <v>0</v>
      </c>
      <c r="L18" s="106">
        <v>87.5</v>
      </c>
      <c r="M18" s="71">
        <v>63.5</v>
      </c>
      <c r="N18" s="96">
        <f t="shared" si="1"/>
        <v>3.6458333333333335</v>
      </c>
      <c r="O18" s="98">
        <v>2.6458333333333335</v>
      </c>
      <c r="P18" s="107">
        <f>O18/O46</f>
        <v>2.4082838426948992E-2</v>
      </c>
      <c r="Q18" s="108">
        <f t="shared" si="2"/>
        <v>1.8888744950550415E-2</v>
      </c>
      <c r="R18" s="77">
        <v>0</v>
      </c>
      <c r="S18" s="34">
        <v>0</v>
      </c>
      <c r="T18" s="34">
        <f t="shared" si="3"/>
        <v>0</v>
      </c>
      <c r="U18" s="34">
        <f t="shared" si="4"/>
        <v>0</v>
      </c>
      <c r="V18" s="48">
        <f>U18/U46</f>
        <v>0</v>
      </c>
      <c r="W18" s="48">
        <f t="shared" si="5"/>
        <v>0</v>
      </c>
      <c r="X18" s="48">
        <f t="shared" si="8"/>
        <v>1.4449703056169395E-2</v>
      </c>
      <c r="Y18" s="48">
        <f t="shared" si="9"/>
        <v>1.1333246970330248E-2</v>
      </c>
      <c r="Z18" s="26">
        <f t="shared" si="15"/>
        <v>-0.32462910582796978</v>
      </c>
      <c r="AA18" s="26">
        <v>-0.27800000000000002</v>
      </c>
      <c r="AB18">
        <v>-0.26900000000000002</v>
      </c>
      <c r="AC18" s="244"/>
      <c r="AD18" s="37"/>
      <c r="AE18" s="37"/>
      <c r="AF18" s="69"/>
      <c r="AG18" s="37"/>
      <c r="AH18" s="23"/>
      <c r="AI18" s="23"/>
      <c r="AO18">
        <v>175</v>
      </c>
      <c r="AP18">
        <v>179</v>
      </c>
      <c r="AQ18">
        <f t="shared" si="16"/>
        <v>-4</v>
      </c>
      <c r="AR18">
        <v>129</v>
      </c>
      <c r="AS18">
        <v>120</v>
      </c>
      <c r="AT18">
        <f t="shared" si="10"/>
        <v>46</v>
      </c>
      <c r="AU18">
        <v>59</v>
      </c>
      <c r="AV18" s="23">
        <v>-0.36299999999999999</v>
      </c>
      <c r="AW18" s="23">
        <v>-0.40600000000000003</v>
      </c>
      <c r="AX18" s="34">
        <v>0</v>
      </c>
      <c r="AY18" s="77">
        <v>0</v>
      </c>
      <c r="AZ18">
        <v>62260</v>
      </c>
      <c r="BA18" s="34">
        <v>67044.100000000006</v>
      </c>
      <c r="BB18">
        <f t="shared" si="17"/>
        <v>-62260</v>
      </c>
      <c r="BC18" s="34">
        <f t="shared" si="12"/>
        <v>-67044.100000000006</v>
      </c>
      <c r="BD18" s="23">
        <v>-0.15</v>
      </c>
      <c r="BE18" s="23">
        <f t="shared" si="13"/>
        <v>-0.20257276456992432</v>
      </c>
      <c r="BF18" s="23">
        <f t="shared" si="14"/>
        <v>-0.30359999999999998</v>
      </c>
    </row>
    <row r="19" spans="1:58" x14ac:dyDescent="0.25">
      <c r="A19" s="9" t="s">
        <v>68</v>
      </c>
      <c r="B19" s="9" t="s">
        <v>72</v>
      </c>
      <c r="C19" s="1">
        <f t="shared" si="0"/>
        <v>38</v>
      </c>
      <c r="D19" s="8">
        <v>0</v>
      </c>
      <c r="E19" s="8">
        <v>38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>
        <v>0</v>
      </c>
      <c r="L19" s="106">
        <v>213.5</v>
      </c>
      <c r="M19" s="71">
        <v>144.5</v>
      </c>
      <c r="N19" s="96">
        <f t="shared" si="1"/>
        <v>5.6184210526315788</v>
      </c>
      <c r="O19" s="98">
        <v>3.8026315789473686</v>
      </c>
      <c r="P19" s="107">
        <f>O19/O46</f>
        <v>3.4612218675780813E-2</v>
      </c>
      <c r="Q19" s="108">
        <f t="shared" si="2"/>
        <v>2.9108550113269273E-2</v>
      </c>
      <c r="R19" s="77">
        <v>342370</v>
      </c>
      <c r="S19" s="34">
        <v>37350</v>
      </c>
      <c r="T19" s="34">
        <f t="shared" si="3"/>
        <v>9009.7368421052633</v>
      </c>
      <c r="U19" s="34">
        <f t="shared" si="4"/>
        <v>982.89473684210532</v>
      </c>
      <c r="V19" s="48">
        <f>U19/U46</f>
        <v>7.9836914639922624E-3</v>
      </c>
      <c r="W19" s="48">
        <f t="shared" si="5"/>
        <v>8.3069315866640722E-2</v>
      </c>
      <c r="X19" s="48">
        <f t="shared" si="8"/>
        <v>2.3960807791065391E-2</v>
      </c>
      <c r="Y19" s="48">
        <f t="shared" si="9"/>
        <v>5.0692856414617855E-2</v>
      </c>
      <c r="Z19" s="26">
        <f t="shared" si="15"/>
        <v>0.30319374080545819</v>
      </c>
      <c r="AA19" s="26">
        <v>0.27100000000000002</v>
      </c>
      <c r="AB19">
        <v>-4.2999999999999997E-2</v>
      </c>
      <c r="AC19" s="244"/>
      <c r="AD19" s="37"/>
      <c r="AE19" s="37"/>
      <c r="AF19" s="69"/>
      <c r="AG19" s="37"/>
      <c r="AH19" s="23"/>
      <c r="AI19" s="23"/>
      <c r="AO19">
        <v>427</v>
      </c>
      <c r="AP19">
        <v>434</v>
      </c>
      <c r="AQ19">
        <f t="shared" si="16"/>
        <v>-7</v>
      </c>
      <c r="AR19">
        <v>204</v>
      </c>
      <c r="AS19">
        <v>191</v>
      </c>
      <c r="AT19">
        <f t="shared" si="10"/>
        <v>223</v>
      </c>
      <c r="AU19">
        <v>243</v>
      </c>
      <c r="AV19" s="23">
        <v>0.10100000000000001</v>
      </c>
      <c r="AW19" s="23">
        <v>4.4999999999999998E-2</v>
      </c>
      <c r="AX19" s="34">
        <v>342370</v>
      </c>
      <c r="AY19" s="77">
        <v>342370.32</v>
      </c>
      <c r="AZ19">
        <v>103106</v>
      </c>
      <c r="BA19" s="34">
        <v>106520.94</v>
      </c>
      <c r="BB19">
        <f t="shared" si="17"/>
        <v>-103106</v>
      </c>
      <c r="BC19" s="34">
        <f t="shared" si="12"/>
        <v>235849.38</v>
      </c>
      <c r="BD19" s="23">
        <v>0.52600000000000002</v>
      </c>
      <c r="BE19" s="23">
        <f t="shared" si="13"/>
        <v>0.69048435201364544</v>
      </c>
      <c r="BF19" s="23">
        <f t="shared" si="14"/>
        <v>0.23740000000000003</v>
      </c>
    </row>
    <row r="20" spans="1:58" x14ac:dyDescent="0.25">
      <c r="A20" s="9" t="s">
        <v>83</v>
      </c>
      <c r="B20" s="9" t="s">
        <v>84</v>
      </c>
      <c r="C20" s="1">
        <f t="shared" si="0"/>
        <v>126</v>
      </c>
      <c r="D20">
        <v>0</v>
      </c>
      <c r="E20">
        <v>0</v>
      </c>
      <c r="F20">
        <v>0</v>
      </c>
      <c r="G20">
        <v>115</v>
      </c>
      <c r="H20">
        <v>11</v>
      </c>
      <c r="I20">
        <v>0</v>
      </c>
      <c r="J20">
        <v>0</v>
      </c>
      <c r="K20">
        <v>0</v>
      </c>
      <c r="L20" s="106">
        <v>454.5</v>
      </c>
      <c r="M20" s="71">
        <v>591.5</v>
      </c>
      <c r="N20" s="96">
        <f t="shared" si="1"/>
        <v>3.6071428571428572</v>
      </c>
      <c r="O20" s="98">
        <v>4.6944444444444446</v>
      </c>
      <c r="P20" s="107">
        <f>O20/O46</f>
        <v>4.2729655581673277E-2</v>
      </c>
      <c r="Q20" s="108">
        <f t="shared" si="2"/>
        <v>1.8688292963320086E-2</v>
      </c>
      <c r="R20" s="77">
        <v>140274</v>
      </c>
      <c r="S20" s="34">
        <v>114111</v>
      </c>
      <c r="T20" s="34">
        <f t="shared" si="3"/>
        <v>1113.2857142857142</v>
      </c>
      <c r="U20" s="34">
        <f t="shared" si="4"/>
        <v>905.64285714285711</v>
      </c>
      <c r="V20" s="48">
        <f>U20/U46</f>
        <v>7.3562029350437942E-3</v>
      </c>
      <c r="W20" s="48">
        <f t="shared" si="5"/>
        <v>1.026443771560917E-2</v>
      </c>
      <c r="X20" s="48">
        <f t="shared" si="8"/>
        <v>2.8580274523021483E-2</v>
      </c>
      <c r="Y20" s="48">
        <f t="shared" si="9"/>
        <v>1.531875086423572E-2</v>
      </c>
      <c r="Z20" s="25">
        <f t="shared" si="15"/>
        <v>0.85854581006859587</v>
      </c>
      <c r="AA20" s="26">
        <v>-0.14599999999999999</v>
      </c>
      <c r="AB20" s="73">
        <v>0.95</v>
      </c>
      <c r="AC20" s="243">
        <v>623498.16911546397</v>
      </c>
      <c r="AD20" s="67">
        <f>AG20*AM$3</f>
        <v>621945.62006330281</v>
      </c>
      <c r="AE20" s="67" t="e">
        <f>C20*AH20</f>
        <v>#VALUE!</v>
      </c>
      <c r="AF20" s="70">
        <f>AD20-AC20</f>
        <v>-1552.5490521611646</v>
      </c>
      <c r="AG20" s="67">
        <f>C20*AI20</f>
        <v>11.557298282781126</v>
      </c>
      <c r="AH20" s="23" t="e">
        <f>AB20/AM2</f>
        <v>#VALUE!</v>
      </c>
      <c r="AI20" s="23">
        <f>Z20/AN$2</f>
        <v>9.1724589545881946E-2</v>
      </c>
      <c r="AO20">
        <v>909</v>
      </c>
      <c r="AP20">
        <v>1614</v>
      </c>
      <c r="AQ20">
        <f t="shared" si="16"/>
        <v>-705</v>
      </c>
      <c r="AR20">
        <v>676</v>
      </c>
      <c r="AS20">
        <v>632</v>
      </c>
      <c r="AT20">
        <f t="shared" si="10"/>
        <v>233</v>
      </c>
      <c r="AU20">
        <v>982</v>
      </c>
      <c r="AV20" s="23">
        <v>0.128</v>
      </c>
      <c r="AW20" s="23">
        <v>1.859</v>
      </c>
      <c r="AX20" s="34">
        <v>140274</v>
      </c>
      <c r="AY20" s="77">
        <v>140273.79</v>
      </c>
      <c r="AZ20">
        <v>384372</v>
      </c>
      <c r="BA20" s="34">
        <v>356402.06</v>
      </c>
      <c r="BB20">
        <f t="shared" si="17"/>
        <v>-42002</v>
      </c>
      <c r="BC20" s="34">
        <f t="shared" si="12"/>
        <v>-216128.27</v>
      </c>
      <c r="BD20" s="23">
        <v>-0.55700000000000005</v>
      </c>
      <c r="BE20" s="23">
        <f t="shared" si="13"/>
        <v>-0.64213547482850997</v>
      </c>
      <c r="BF20" s="23">
        <f t="shared" si="14"/>
        <v>0.89259999999999995</v>
      </c>
    </row>
    <row r="21" spans="1:58" x14ac:dyDescent="0.25">
      <c r="A21" s="7" t="s">
        <v>83</v>
      </c>
      <c r="B21" s="7" t="s">
        <v>85</v>
      </c>
      <c r="C21" s="1">
        <f t="shared" si="0"/>
        <v>68</v>
      </c>
      <c r="D21">
        <v>0</v>
      </c>
      <c r="E21">
        <v>0</v>
      </c>
      <c r="F21">
        <v>0</v>
      </c>
      <c r="G21">
        <v>68</v>
      </c>
      <c r="H21">
        <v>0</v>
      </c>
      <c r="I21">
        <v>0</v>
      </c>
      <c r="J21">
        <v>0</v>
      </c>
      <c r="K21">
        <v>0</v>
      </c>
      <c r="L21" s="106">
        <v>563.5</v>
      </c>
      <c r="M21" s="71">
        <v>514.5</v>
      </c>
      <c r="N21" s="96">
        <f t="shared" si="1"/>
        <v>8.2867647058823533</v>
      </c>
      <c r="O21" s="98">
        <v>7.5661764705882355</v>
      </c>
      <c r="P21" s="107">
        <f>O21/O46</f>
        <v>6.8868663477528055E-2</v>
      </c>
      <c r="Q21" s="108">
        <f t="shared" si="2"/>
        <v>4.2933006169956947E-2</v>
      </c>
      <c r="R21" s="77">
        <v>115346</v>
      </c>
      <c r="S21" s="34">
        <v>115346</v>
      </c>
      <c r="T21" s="34">
        <f t="shared" si="3"/>
        <v>1696.2647058823529</v>
      </c>
      <c r="U21" s="34">
        <f t="shared" si="4"/>
        <v>1696.2647058823529</v>
      </c>
      <c r="V21" s="48">
        <f>U21/U46</f>
        <v>1.377813263761507E-2</v>
      </c>
      <c r="W21" s="48">
        <f t="shared" si="5"/>
        <v>1.5639474394842635E-2</v>
      </c>
      <c r="X21" s="48">
        <f t="shared" si="8"/>
        <v>4.6832451141562863E-2</v>
      </c>
      <c r="Y21" s="48">
        <f t="shared" si="9"/>
        <v>3.2015593459911222E-2</v>
      </c>
      <c r="Z21" s="25">
        <f t="shared" si="15"/>
        <v>0.74708223574348742</v>
      </c>
      <c r="AA21" s="26">
        <v>0.83399999999999996</v>
      </c>
      <c r="AB21" s="73">
        <v>1.2689999999999999</v>
      </c>
      <c r="AC21" s="243">
        <v>287710.04788478365</v>
      </c>
      <c r="AD21" s="67">
        <f>AG21*AM$3</f>
        <v>292075.89625246736</v>
      </c>
      <c r="AE21" s="67" t="e">
        <f>C21*AH21</f>
        <v>#VALUE!</v>
      </c>
      <c r="AF21" s="70">
        <f>AD21-AC21</f>
        <v>4365.8483676837059</v>
      </c>
      <c r="AG21" s="67">
        <f>C21*AI21</f>
        <v>5.427497429529005</v>
      </c>
      <c r="AH21" s="23" t="e">
        <f>AB21/AM2</f>
        <v>#VALUE!</v>
      </c>
      <c r="AI21" s="23">
        <f>Z21/AN$2</f>
        <v>7.9816138669544193E-2</v>
      </c>
      <c r="AO21">
        <v>1127</v>
      </c>
      <c r="AP21">
        <v>1135</v>
      </c>
      <c r="AQ21">
        <f t="shared" si="16"/>
        <v>-8</v>
      </c>
      <c r="AR21">
        <v>365</v>
      </c>
      <c r="AS21">
        <v>341</v>
      </c>
      <c r="AT21">
        <f t="shared" si="10"/>
        <v>762</v>
      </c>
      <c r="AU21">
        <v>794</v>
      </c>
      <c r="AV21" s="25">
        <v>1.5149999999999999</v>
      </c>
      <c r="AW21" s="23">
        <v>1.3979999999999999</v>
      </c>
      <c r="AX21" s="34">
        <v>115346</v>
      </c>
      <c r="AY21" s="77">
        <v>115346</v>
      </c>
      <c r="AZ21">
        <v>195304</v>
      </c>
      <c r="BA21" s="34">
        <v>191453.14</v>
      </c>
      <c r="BB21">
        <f t="shared" si="17"/>
        <v>-55030</v>
      </c>
      <c r="BC21" s="34">
        <f t="shared" si="12"/>
        <v>-76107.140000000014</v>
      </c>
      <c r="BD21" s="23">
        <v>-0.189</v>
      </c>
      <c r="BE21" s="23">
        <f t="shared" si="13"/>
        <v>-0.22929441064128103</v>
      </c>
      <c r="BF21" s="23">
        <f t="shared" si="14"/>
        <v>0.76319999999999988</v>
      </c>
    </row>
    <row r="22" spans="1:58" x14ac:dyDescent="0.25">
      <c r="A22" s="7" t="s">
        <v>83</v>
      </c>
      <c r="B22" s="7" t="s">
        <v>86</v>
      </c>
      <c r="C22" s="1">
        <f t="shared" si="0"/>
        <v>116</v>
      </c>
      <c r="D22">
        <v>0</v>
      </c>
      <c r="E22">
        <v>10</v>
      </c>
      <c r="F22">
        <v>58</v>
      </c>
      <c r="G22">
        <v>0</v>
      </c>
      <c r="H22">
        <v>0</v>
      </c>
      <c r="I22">
        <v>17</v>
      </c>
      <c r="J22">
        <v>24</v>
      </c>
      <c r="K22">
        <v>7</v>
      </c>
      <c r="L22" s="106">
        <v>785</v>
      </c>
      <c r="M22" s="71">
        <v>565</v>
      </c>
      <c r="N22" s="96">
        <f t="shared" si="1"/>
        <v>6.7672413793103452</v>
      </c>
      <c r="O22" s="98">
        <v>4.8706896551724137</v>
      </c>
      <c r="P22" s="107">
        <f>O22/O46</f>
        <v>4.4333870359683447E-2</v>
      </c>
      <c r="Q22" s="108">
        <f t="shared" si="2"/>
        <v>3.5060488164371413E-2</v>
      </c>
      <c r="R22" s="77">
        <v>498786</v>
      </c>
      <c r="S22" s="34">
        <v>238025</v>
      </c>
      <c r="T22" s="34">
        <f t="shared" si="3"/>
        <v>4299.8793103448279</v>
      </c>
      <c r="U22" s="34">
        <f t="shared" si="4"/>
        <v>2051.9396551724139</v>
      </c>
      <c r="V22" s="48">
        <f>U22/U46</f>
        <v>1.666714908074524E-2</v>
      </c>
      <c r="W22" s="48">
        <f t="shared" si="5"/>
        <v>3.9644668748838319E-2</v>
      </c>
      <c r="X22" s="48">
        <f t="shared" si="8"/>
        <v>3.326718184810816E-2</v>
      </c>
      <c r="Y22" s="48">
        <f t="shared" si="9"/>
        <v>3.6894160398158175E-2</v>
      </c>
      <c r="Z22" s="25">
        <f t="shared" si="15"/>
        <v>1.3605638281332735</v>
      </c>
      <c r="AA22" s="26">
        <v>1.329</v>
      </c>
      <c r="AB22" s="73">
        <v>1.0820000000000001</v>
      </c>
      <c r="AC22" s="243">
        <v>829188.76684367401</v>
      </c>
      <c r="AD22" s="67">
        <f>AG22*AM$3</f>
        <v>907392.75091055152</v>
      </c>
      <c r="AE22" s="67" t="e">
        <f>C22*AH22</f>
        <v>#VALUE!</v>
      </c>
      <c r="AF22" s="70">
        <f>AD22-AC22</f>
        <v>78203.984066877514</v>
      </c>
      <c r="AG22" s="67">
        <f>C22*AI22</f>
        <v>16.861616745269743</v>
      </c>
      <c r="AH22" s="23" t="e">
        <f>AB22/AM2</f>
        <v>#VALUE!</v>
      </c>
      <c r="AI22" s="23">
        <f>Z22/AN$2</f>
        <v>0.1453587650454288</v>
      </c>
      <c r="AO22">
        <v>1570</v>
      </c>
      <c r="AP22">
        <v>1595</v>
      </c>
      <c r="AQ22">
        <f t="shared" si="16"/>
        <v>-25</v>
      </c>
      <c r="AR22">
        <v>623</v>
      </c>
      <c r="AS22">
        <v>582</v>
      </c>
      <c r="AT22">
        <f t="shared" si="10"/>
        <v>947</v>
      </c>
      <c r="AU22">
        <v>1013</v>
      </c>
      <c r="AV22" s="25">
        <v>2.0009999999999999</v>
      </c>
      <c r="AW22" s="23">
        <v>1.9350000000000001</v>
      </c>
      <c r="AX22" s="34">
        <v>498786</v>
      </c>
      <c r="AY22" s="77">
        <v>498786</v>
      </c>
      <c r="AZ22">
        <v>351018</v>
      </c>
      <c r="BA22" s="34">
        <v>327912.03000000003</v>
      </c>
      <c r="BB22">
        <f t="shared" si="17"/>
        <v>-235672</v>
      </c>
      <c r="BC22" s="34">
        <f t="shared" si="12"/>
        <v>170873.96999999997</v>
      </c>
      <c r="BD22" s="23">
        <v>0.32100000000000001</v>
      </c>
      <c r="BE22" s="23">
        <f t="shared" si="13"/>
        <v>0.49890957033318384</v>
      </c>
      <c r="BF22" s="23">
        <f t="shared" si="14"/>
        <v>1.2894000000000001</v>
      </c>
    </row>
    <row r="23" spans="1:58" x14ac:dyDescent="0.25">
      <c r="A23" s="7" t="s">
        <v>83</v>
      </c>
      <c r="B23" s="7" t="s">
        <v>87</v>
      </c>
      <c r="C23" s="1">
        <f t="shared" si="0"/>
        <v>78</v>
      </c>
      <c r="D23">
        <v>72</v>
      </c>
      <c r="E23">
        <v>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 s="106">
        <v>354.5</v>
      </c>
      <c r="M23" s="71">
        <v>307.5</v>
      </c>
      <c r="N23" s="96">
        <f t="shared" si="1"/>
        <v>4.5448717948717947</v>
      </c>
      <c r="O23" s="98">
        <v>3.9423076923076925</v>
      </c>
      <c r="P23" s="107">
        <f>O23/O46</f>
        <v>3.5883575124345556E-2</v>
      </c>
      <c r="Q23" s="108">
        <f t="shared" si="2"/>
        <v>2.354658491418065E-2</v>
      </c>
      <c r="R23" s="77">
        <v>44627</v>
      </c>
      <c r="S23" s="34">
        <v>58996</v>
      </c>
      <c r="T23" s="34">
        <f t="shared" si="3"/>
        <v>572.14102564102564</v>
      </c>
      <c r="U23" s="34">
        <f t="shared" si="4"/>
        <v>756.35897435897436</v>
      </c>
      <c r="V23" s="48">
        <f>U23/U46</f>
        <v>6.1436250098404303E-3</v>
      </c>
      <c r="W23" s="48">
        <f t="shared" si="5"/>
        <v>5.2751111838392657E-3</v>
      </c>
      <c r="X23" s="48">
        <f t="shared" si="8"/>
        <v>2.3987595078543505E-2</v>
      </c>
      <c r="Y23" s="48">
        <f t="shared" si="9"/>
        <v>1.6237995422044096E-2</v>
      </c>
      <c r="Z23" s="26">
        <f t="shared" si="15"/>
        <v>-4.6669526621697183E-2</v>
      </c>
      <c r="AA23" s="26">
        <v>-1E-3</v>
      </c>
      <c r="AB23">
        <v>0.22500000000000001</v>
      </c>
      <c r="AC23" s="244"/>
      <c r="AD23" s="37"/>
      <c r="AE23" s="37"/>
      <c r="AF23" s="69"/>
      <c r="AG23" s="37"/>
      <c r="AH23" s="23"/>
      <c r="AI23" s="23"/>
      <c r="AO23">
        <v>709</v>
      </c>
      <c r="AP23">
        <v>719</v>
      </c>
      <c r="AQ23">
        <f t="shared" si="16"/>
        <v>-10</v>
      </c>
      <c r="AR23">
        <v>419</v>
      </c>
      <c r="AS23">
        <v>391</v>
      </c>
      <c r="AT23">
        <f t="shared" si="10"/>
        <v>290</v>
      </c>
      <c r="AU23">
        <v>328</v>
      </c>
      <c r="AV23" s="23">
        <v>0.27700000000000002</v>
      </c>
      <c r="AW23" s="23">
        <v>0.254</v>
      </c>
      <c r="AX23" s="34">
        <v>44627</v>
      </c>
      <c r="AY23" s="77">
        <v>52702.94</v>
      </c>
      <c r="AZ23">
        <v>227049</v>
      </c>
      <c r="BA23" s="34">
        <v>219834.91</v>
      </c>
      <c r="BB23">
        <f t="shared" si="17"/>
        <v>271737</v>
      </c>
      <c r="BC23" s="34">
        <f t="shared" si="12"/>
        <v>-167131.97</v>
      </c>
      <c r="BD23" s="23">
        <v>-0.41899999999999998</v>
      </c>
      <c r="BE23" s="23">
        <f t="shared" si="13"/>
        <v>-0.49767381655424292</v>
      </c>
      <c r="BF23" s="23">
        <f t="shared" si="14"/>
        <v>-1.5199999999999991E-2</v>
      </c>
    </row>
    <row r="24" spans="1:58" x14ac:dyDescent="0.25">
      <c r="A24" s="7" t="s">
        <v>83</v>
      </c>
      <c r="B24" s="7" t="s">
        <v>88</v>
      </c>
      <c r="C24" s="1">
        <f t="shared" si="0"/>
        <v>59</v>
      </c>
      <c r="D24">
        <v>33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26</v>
      </c>
      <c r="L24" s="106">
        <v>223.5</v>
      </c>
      <c r="M24" s="71">
        <v>120</v>
      </c>
      <c r="N24" s="96">
        <f t="shared" si="1"/>
        <v>3.7881355932203391</v>
      </c>
      <c r="O24" s="98">
        <v>2.0338983050847457</v>
      </c>
      <c r="P24" s="107">
        <f>O24/O46</f>
        <v>1.8512898617272944E-2</v>
      </c>
      <c r="Q24" s="108">
        <f t="shared" si="2"/>
        <v>1.9626000564600954E-2</v>
      </c>
      <c r="R24" s="77">
        <v>269200</v>
      </c>
      <c r="S24" s="34">
        <v>630858</v>
      </c>
      <c r="T24" s="34">
        <f t="shared" si="3"/>
        <v>4562.7118644067796</v>
      </c>
      <c r="U24" s="34">
        <f t="shared" si="4"/>
        <v>10692.508474576271</v>
      </c>
      <c r="V24" s="48">
        <f>U24/U46</f>
        <v>8.6851303031092397E-2</v>
      </c>
      <c r="W24" s="48">
        <f t="shared" si="5"/>
        <v>4.2067971541809406E-2</v>
      </c>
      <c r="X24" s="48">
        <f t="shared" si="8"/>
        <v>4.5848260382800723E-2</v>
      </c>
      <c r="Y24" s="48">
        <f t="shared" si="9"/>
        <v>2.8602788955484335E-2</v>
      </c>
      <c r="Z24" s="26">
        <f t="shared" si="15"/>
        <v>2.7426387194640675E-2</v>
      </c>
      <c r="AA24" s="26">
        <v>2E-3</v>
      </c>
      <c r="AB24">
        <v>0.26</v>
      </c>
      <c r="AC24" s="242"/>
      <c r="AD24" s="70"/>
      <c r="AE24" s="70"/>
      <c r="AF24" s="70"/>
      <c r="AG24" s="70"/>
      <c r="AH24" s="23"/>
      <c r="AI24" s="23"/>
      <c r="AO24">
        <v>447</v>
      </c>
      <c r="AP24">
        <v>458</v>
      </c>
      <c r="AQ24">
        <f t="shared" si="16"/>
        <v>-11</v>
      </c>
      <c r="AR24">
        <v>317</v>
      </c>
      <c r="AS24">
        <v>296</v>
      </c>
      <c r="AT24">
        <f t="shared" si="10"/>
        <v>130</v>
      </c>
      <c r="AU24">
        <v>162</v>
      </c>
      <c r="AV24" s="23">
        <v>-0.14299999999999999</v>
      </c>
      <c r="AW24" s="23">
        <v>-0.154</v>
      </c>
      <c r="AX24" s="34">
        <v>269200</v>
      </c>
      <c r="AY24" s="77">
        <v>269200</v>
      </c>
      <c r="AZ24">
        <v>167120</v>
      </c>
      <c r="BA24" s="34">
        <v>165936.35</v>
      </c>
      <c r="BB24">
        <f t="shared" si="17"/>
        <v>-122493</v>
      </c>
      <c r="BC24" s="34">
        <f t="shared" si="12"/>
        <v>103263.65</v>
      </c>
      <c r="BD24" s="23">
        <v>0.219</v>
      </c>
      <c r="BE24" s="23">
        <f t="shared" si="13"/>
        <v>0.29956596798660168</v>
      </c>
      <c r="BF24" s="23">
        <f t="shared" si="14"/>
        <v>-4.7999999999999848E-3</v>
      </c>
    </row>
    <row r="25" spans="1:58" x14ac:dyDescent="0.25">
      <c r="A25" s="9" t="s">
        <v>83</v>
      </c>
      <c r="B25" s="9" t="s">
        <v>90</v>
      </c>
      <c r="C25" s="1">
        <f t="shared" si="0"/>
        <v>48</v>
      </c>
      <c r="D25">
        <v>0</v>
      </c>
      <c r="E25">
        <v>8</v>
      </c>
      <c r="F25">
        <v>21</v>
      </c>
      <c r="G25">
        <v>0</v>
      </c>
      <c r="H25">
        <v>0</v>
      </c>
      <c r="I25">
        <v>0</v>
      </c>
      <c r="J25">
        <v>19</v>
      </c>
      <c r="K25">
        <v>0</v>
      </c>
      <c r="L25" s="106">
        <v>375.5</v>
      </c>
      <c r="M25" s="71">
        <v>249.5</v>
      </c>
      <c r="N25" s="96">
        <f t="shared" si="1"/>
        <v>7.822916666666667</v>
      </c>
      <c r="O25" s="98">
        <v>5.197916666666667</v>
      </c>
      <c r="P25" s="107">
        <f>O25/O46</f>
        <v>4.7312347933258059E-2</v>
      </c>
      <c r="Q25" s="108">
        <f t="shared" si="2"/>
        <v>4.0529849879609607E-2</v>
      </c>
      <c r="R25" s="77">
        <v>10000</v>
      </c>
      <c r="S25" s="34">
        <v>146028</v>
      </c>
      <c r="T25" s="34">
        <f t="shared" si="3"/>
        <v>208.33333333333334</v>
      </c>
      <c r="U25" s="34">
        <f t="shared" si="4"/>
        <v>3042.25</v>
      </c>
      <c r="V25" s="48">
        <f>U25/U46</f>
        <v>2.4711074793589225E-2</v>
      </c>
      <c r="W25" s="48">
        <f t="shared" si="5"/>
        <v>1.9208227471572831E-3</v>
      </c>
      <c r="X25" s="48">
        <f t="shared" si="8"/>
        <v>3.8271838677390521E-2</v>
      </c>
      <c r="Y25" s="48">
        <f t="shared" si="9"/>
        <v>2.5086239026628675E-2</v>
      </c>
      <c r="Z25" s="26">
        <f t="shared" si="15"/>
        <v>0.25226774063572699</v>
      </c>
      <c r="AA25" s="26">
        <v>0.371</v>
      </c>
      <c r="AB25" s="73">
        <v>0.40600000000000003</v>
      </c>
      <c r="AC25" s="242"/>
      <c r="AD25" s="70"/>
      <c r="AE25" s="67" t="e">
        <f>C25*AH25</f>
        <v>#VALUE!</v>
      </c>
      <c r="AF25" s="70"/>
      <c r="AG25" s="70"/>
      <c r="AH25" s="23" t="e">
        <f>AB25/AM2</f>
        <v>#VALUE!</v>
      </c>
      <c r="AI25" s="23"/>
      <c r="AO25">
        <v>751</v>
      </c>
      <c r="AP25">
        <v>738</v>
      </c>
      <c r="AQ25">
        <f t="shared" si="16"/>
        <v>13</v>
      </c>
      <c r="AR25">
        <v>258</v>
      </c>
      <c r="AS25">
        <v>241</v>
      </c>
      <c r="AT25">
        <f t="shared" si="10"/>
        <v>493</v>
      </c>
      <c r="AU25">
        <v>497</v>
      </c>
      <c r="AV25" s="25">
        <v>0.81</v>
      </c>
      <c r="AW25" s="23">
        <v>0.66900000000000004</v>
      </c>
      <c r="AX25" s="34">
        <v>10000</v>
      </c>
      <c r="AY25" s="77">
        <v>10000</v>
      </c>
      <c r="AZ25">
        <v>133247</v>
      </c>
      <c r="BA25" s="34">
        <v>134789.57</v>
      </c>
      <c r="BB25">
        <f t="shared" si="17"/>
        <v>135953</v>
      </c>
      <c r="BC25" s="34">
        <f t="shared" si="12"/>
        <v>-124789.57</v>
      </c>
      <c r="BD25" s="23">
        <v>-0.28599999999999998</v>
      </c>
      <c r="BE25" s="23">
        <f t="shared" si="13"/>
        <v>-0.37283064841068253</v>
      </c>
      <c r="BF25" s="23">
        <f t="shared" si="14"/>
        <v>0.28700000000000003</v>
      </c>
    </row>
    <row r="26" spans="1:58" x14ac:dyDescent="0.25">
      <c r="A26" s="7" t="s">
        <v>83</v>
      </c>
      <c r="B26" s="7" t="s">
        <v>49</v>
      </c>
      <c r="C26" s="1">
        <f t="shared" si="0"/>
        <v>133</v>
      </c>
      <c r="D26">
        <v>0</v>
      </c>
      <c r="E26">
        <v>0</v>
      </c>
      <c r="F26">
        <v>0</v>
      </c>
      <c r="G26">
        <v>0</v>
      </c>
      <c r="H26">
        <v>68</v>
      </c>
      <c r="I26">
        <v>65</v>
      </c>
      <c r="J26">
        <v>0</v>
      </c>
      <c r="K26">
        <v>0</v>
      </c>
      <c r="L26" s="106">
        <v>1029</v>
      </c>
      <c r="M26" s="71">
        <v>636.5</v>
      </c>
      <c r="N26" s="96">
        <f t="shared" si="1"/>
        <v>7.7368421052631575</v>
      </c>
      <c r="O26" s="98">
        <v>4.7857142857142856</v>
      </c>
      <c r="P26" s="107">
        <f>O26/O46</f>
        <v>4.3560409663142827E-2</v>
      </c>
      <c r="Q26" s="108">
        <f t="shared" si="2"/>
        <v>4.0083905074010141E-2</v>
      </c>
      <c r="R26" s="77">
        <v>48373</v>
      </c>
      <c r="S26" s="34">
        <v>69085</v>
      </c>
      <c r="T26" s="34">
        <f t="shared" si="3"/>
        <v>363.70676691729324</v>
      </c>
      <c r="U26" s="34">
        <f t="shared" si="4"/>
        <v>519.43609022556393</v>
      </c>
      <c r="V26" s="48">
        <f>U26/U46</f>
        <v>4.2191877972071563E-3</v>
      </c>
      <c r="W26" s="48">
        <f t="shared" si="5"/>
        <v>3.3533579097108903E-3</v>
      </c>
      <c r="X26" s="48">
        <f t="shared" si="8"/>
        <v>2.7823920916768555E-2</v>
      </c>
      <c r="Y26" s="48">
        <f t="shared" si="9"/>
        <v>2.5391686208290441E-2</v>
      </c>
      <c r="Z26" s="25">
        <f t="shared" si="15"/>
        <v>1.367188385582768</v>
      </c>
      <c r="AA26" s="26">
        <v>1.4990000000000001</v>
      </c>
      <c r="AB26" s="73">
        <v>1.0129999999999999</v>
      </c>
      <c r="AC26" s="243">
        <v>1025915.0358277861</v>
      </c>
      <c r="AD26" s="67">
        <f>AG26*AM$3</f>
        <v>1045438.2765348408</v>
      </c>
      <c r="AE26" s="67" t="e">
        <f>C26*AH26</f>
        <v>#VALUE!</v>
      </c>
      <c r="AF26" s="70">
        <f>AD26-AC26</f>
        <v>19523.240707054734</v>
      </c>
      <c r="AG26" s="67">
        <f>C26*AI26</f>
        <v>19.426846348592345</v>
      </c>
      <c r="AH26" s="23" t="e">
        <f>AB26/AM2</f>
        <v>#VALUE!</v>
      </c>
      <c r="AI26" s="23">
        <f>Z26/AN$2</f>
        <v>0.14606651389919056</v>
      </c>
      <c r="AO26">
        <v>2058</v>
      </c>
      <c r="AP26">
        <v>2058</v>
      </c>
      <c r="AQ26">
        <f t="shared" si="16"/>
        <v>0</v>
      </c>
      <c r="AR26">
        <v>714</v>
      </c>
      <c r="AS26">
        <v>667</v>
      </c>
      <c r="AT26">
        <f t="shared" si="10"/>
        <v>1344</v>
      </c>
      <c r="AU26">
        <v>1391</v>
      </c>
      <c r="AV26" s="25">
        <v>3.0419999999999998</v>
      </c>
      <c r="AW26" s="23">
        <v>2.863</v>
      </c>
      <c r="AX26" s="34">
        <v>48373</v>
      </c>
      <c r="AY26" s="77">
        <v>80729</v>
      </c>
      <c r="AZ26">
        <v>407876</v>
      </c>
      <c r="BA26" s="34">
        <v>376355.3</v>
      </c>
      <c r="BB26">
        <f t="shared" si="17"/>
        <v>-397876</v>
      </c>
      <c r="BC26" s="34">
        <f t="shared" si="12"/>
        <v>-295626.3</v>
      </c>
      <c r="BD26" s="23">
        <v>-0.81599999999999995</v>
      </c>
      <c r="BE26" s="23">
        <f t="shared" si="13"/>
        <v>-0.87652903604308008</v>
      </c>
      <c r="BF26" s="23">
        <f t="shared" si="14"/>
        <v>1.3914</v>
      </c>
    </row>
    <row r="27" spans="1:58" x14ac:dyDescent="0.25">
      <c r="A27" s="9" t="s">
        <v>92</v>
      </c>
      <c r="B27" s="9" t="s">
        <v>93</v>
      </c>
      <c r="C27" s="1">
        <f t="shared" si="0"/>
        <v>62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62</v>
      </c>
      <c r="J27" s="11">
        <v>0</v>
      </c>
      <c r="K27">
        <v>0</v>
      </c>
      <c r="L27" s="109">
        <v>90</v>
      </c>
      <c r="M27" s="110">
        <v>45.5</v>
      </c>
      <c r="N27" s="96">
        <f t="shared" si="1"/>
        <v>1.4516129032258065</v>
      </c>
      <c r="O27" s="98">
        <v>0.7338709677419355</v>
      </c>
      <c r="P27" s="107">
        <f>O27/O46</f>
        <v>6.679822088450164E-3</v>
      </c>
      <c r="Q27" s="108">
        <f t="shared" si="2"/>
        <v>7.5206800171776769E-3</v>
      </c>
      <c r="R27" s="77">
        <v>45066</v>
      </c>
      <c r="S27" s="34">
        <v>0</v>
      </c>
      <c r="T27" s="34">
        <f t="shared" si="3"/>
        <v>726.87096774193549</v>
      </c>
      <c r="U27" s="34">
        <f t="shared" si="4"/>
        <v>0</v>
      </c>
      <c r="V27" s="48">
        <f>U27/U46</f>
        <v>0</v>
      </c>
      <c r="W27" s="48">
        <f t="shared" si="5"/>
        <v>6.7017133876172991E-3</v>
      </c>
      <c r="X27" s="48">
        <f t="shared" si="8"/>
        <v>4.0078932530700981E-3</v>
      </c>
      <c r="Y27" s="48">
        <f t="shared" si="9"/>
        <v>7.1930933653535263E-3</v>
      </c>
      <c r="Z27" s="26">
        <f t="shared" si="15"/>
        <v>-0.67833767983562787</v>
      </c>
      <c r="AA27" s="26">
        <v>-0.65300000000000002</v>
      </c>
      <c r="AB27">
        <v>-0.76600000000000001</v>
      </c>
      <c r="AC27" s="244"/>
      <c r="AD27" s="37"/>
      <c r="AE27" s="37"/>
      <c r="AF27" s="69"/>
      <c r="AG27" s="37"/>
      <c r="AH27" s="23"/>
      <c r="AI27" s="23"/>
      <c r="AO27">
        <v>180</v>
      </c>
      <c r="AP27">
        <v>180</v>
      </c>
      <c r="AQ27">
        <f t="shared" si="16"/>
        <v>0</v>
      </c>
      <c r="AR27">
        <v>333</v>
      </c>
      <c r="AS27">
        <v>311</v>
      </c>
      <c r="AT27">
        <f t="shared" si="10"/>
        <v>-153</v>
      </c>
      <c r="AU27">
        <v>-131</v>
      </c>
      <c r="AV27" s="23">
        <v>-0.88500000000000001</v>
      </c>
      <c r="AW27" s="23">
        <v>-0.873</v>
      </c>
      <c r="AX27" s="34">
        <v>45066</v>
      </c>
      <c r="AY27" s="77">
        <v>45066</v>
      </c>
      <c r="AZ27">
        <v>176471</v>
      </c>
      <c r="BA27" s="34">
        <v>174438.89</v>
      </c>
      <c r="BB27">
        <f t="shared" si="17"/>
        <v>-128098</v>
      </c>
      <c r="BC27" s="34">
        <f t="shared" si="12"/>
        <v>-129372.89000000001</v>
      </c>
      <c r="BD27" s="23">
        <v>-0.30399999999999999</v>
      </c>
      <c r="BE27" s="23">
        <f t="shared" si="13"/>
        <v>-0.38634419958906979</v>
      </c>
      <c r="BF27" s="23">
        <f t="shared" si="14"/>
        <v>-0.64539999999999997</v>
      </c>
    </row>
    <row r="28" spans="1:58" x14ac:dyDescent="0.25">
      <c r="A28" s="7" t="s">
        <v>92</v>
      </c>
      <c r="B28" s="7" t="s">
        <v>84</v>
      </c>
      <c r="C28" s="1">
        <f t="shared" si="0"/>
        <v>124</v>
      </c>
      <c r="D28" s="11">
        <v>0</v>
      </c>
      <c r="E28" s="11">
        <v>0</v>
      </c>
      <c r="F28" s="11">
        <v>0</v>
      </c>
      <c r="G28" s="11">
        <v>124</v>
      </c>
      <c r="H28" s="11">
        <v>0</v>
      </c>
      <c r="I28" s="11">
        <v>0</v>
      </c>
      <c r="J28" s="11">
        <v>0</v>
      </c>
      <c r="K28">
        <v>0</v>
      </c>
      <c r="L28" s="109">
        <v>410</v>
      </c>
      <c r="M28" s="110">
        <v>278</v>
      </c>
      <c r="N28" s="96">
        <f t="shared" si="1"/>
        <v>3.306451612903226</v>
      </c>
      <c r="O28" s="98">
        <v>2.2419354838709675</v>
      </c>
      <c r="P28" s="107">
        <f>O28/O46</f>
        <v>2.0406489457023575E-2</v>
      </c>
      <c r="Q28" s="108">
        <f t="shared" si="2"/>
        <v>1.7130437816904709E-2</v>
      </c>
      <c r="R28" s="77">
        <v>0</v>
      </c>
      <c r="S28" s="34">
        <v>0</v>
      </c>
      <c r="T28" s="34">
        <f t="shared" si="3"/>
        <v>0</v>
      </c>
      <c r="U28" s="34">
        <f t="shared" si="4"/>
        <v>0</v>
      </c>
      <c r="V28" s="48">
        <f>U28/U46</f>
        <v>0</v>
      </c>
      <c r="W28" s="48">
        <f t="shared" si="5"/>
        <v>0</v>
      </c>
      <c r="X28" s="48">
        <f t="shared" si="8"/>
        <v>1.2243893674214145E-2</v>
      </c>
      <c r="Y28" s="48">
        <f t="shared" si="9"/>
        <v>1.0278262690142825E-2</v>
      </c>
      <c r="Z28" s="26">
        <f t="shared" si="15"/>
        <v>-0.4251668935113182</v>
      </c>
      <c r="AA28" s="26">
        <v>-0.39</v>
      </c>
      <c r="AB28">
        <v>-0.47199999999999998</v>
      </c>
      <c r="AC28" s="244"/>
      <c r="AD28" s="37"/>
      <c r="AE28" s="37"/>
      <c r="AF28" s="69"/>
      <c r="AG28" s="37"/>
      <c r="AH28" s="23"/>
      <c r="AI28" s="23"/>
      <c r="AO28">
        <v>820</v>
      </c>
      <c r="AP28">
        <v>840</v>
      </c>
      <c r="AQ28">
        <f t="shared" si="16"/>
        <v>-20</v>
      </c>
      <c r="AR28">
        <v>666</v>
      </c>
      <c r="AS28">
        <v>622</v>
      </c>
      <c r="AT28">
        <f t="shared" si="10"/>
        <v>154</v>
      </c>
      <c r="AU28">
        <v>218</v>
      </c>
      <c r="AV28" s="23">
        <v>-0.08</v>
      </c>
      <c r="AW28" s="23">
        <v>-1.6E-2</v>
      </c>
      <c r="AX28" s="34">
        <v>0</v>
      </c>
      <c r="AY28" s="77">
        <v>0</v>
      </c>
      <c r="AZ28">
        <v>377680</v>
      </c>
      <c r="BA28" s="34">
        <v>350702.65</v>
      </c>
      <c r="BB28">
        <f t="shared" si="17"/>
        <v>-332614</v>
      </c>
      <c r="BC28" s="34">
        <f t="shared" si="12"/>
        <v>-350702.65</v>
      </c>
      <c r="BD28" s="23">
        <v>-0.85599999999999998</v>
      </c>
      <c r="BE28" s="23">
        <f t="shared" si="13"/>
        <v>-1.0389172337782955</v>
      </c>
      <c r="BF28" s="23">
        <f t="shared" si="14"/>
        <v>-0.35200000000000004</v>
      </c>
    </row>
    <row r="29" spans="1:58" x14ac:dyDescent="0.25">
      <c r="A29" s="7" t="s">
        <v>92</v>
      </c>
      <c r="B29" s="7" t="s">
        <v>95</v>
      </c>
      <c r="C29" s="53">
        <f t="shared" si="0"/>
        <v>1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1</v>
      </c>
      <c r="J29" s="11">
        <v>0</v>
      </c>
      <c r="K29">
        <v>0</v>
      </c>
      <c r="L29" s="109">
        <v>0</v>
      </c>
      <c r="M29" s="110">
        <v>0</v>
      </c>
      <c r="N29" s="96">
        <f t="shared" si="1"/>
        <v>0</v>
      </c>
      <c r="O29" s="98">
        <v>0</v>
      </c>
      <c r="P29" s="107">
        <f>O29/O46</f>
        <v>0</v>
      </c>
      <c r="Q29" s="108">
        <f t="shared" si="2"/>
        <v>0</v>
      </c>
      <c r="R29" s="77">
        <v>0</v>
      </c>
      <c r="S29" s="34">
        <v>0</v>
      </c>
      <c r="T29" s="34">
        <f t="shared" si="3"/>
        <v>0</v>
      </c>
      <c r="U29" s="34">
        <f t="shared" si="4"/>
        <v>0</v>
      </c>
      <c r="V29" s="48">
        <f>U29/U46</f>
        <v>0</v>
      </c>
      <c r="W29" s="48">
        <f t="shared" si="5"/>
        <v>0</v>
      </c>
      <c r="X29" s="48">
        <f t="shared" si="8"/>
        <v>0</v>
      </c>
      <c r="Y29" s="48">
        <f t="shared" si="9"/>
        <v>0</v>
      </c>
      <c r="Z29" s="26"/>
      <c r="AA29" s="26"/>
      <c r="AC29" s="244"/>
      <c r="AD29" s="37"/>
      <c r="AE29" s="37"/>
      <c r="AF29" s="69"/>
      <c r="AG29" s="37"/>
      <c r="AH29" s="23"/>
      <c r="AI29" s="23"/>
      <c r="AV29" s="23"/>
      <c r="AX29" s="34"/>
      <c r="AY29" s="77">
        <v>0</v>
      </c>
      <c r="BF29" s="23">
        <f t="shared" si="14"/>
        <v>0</v>
      </c>
    </row>
    <row r="30" spans="1:58" x14ac:dyDescent="0.25">
      <c r="A30" s="7" t="s">
        <v>92</v>
      </c>
      <c r="B30" s="7" t="s">
        <v>87</v>
      </c>
      <c r="C30" s="1">
        <f t="shared" si="0"/>
        <v>56</v>
      </c>
      <c r="D30" s="11">
        <v>41</v>
      </c>
      <c r="E30" s="11">
        <v>5</v>
      </c>
      <c r="F30" s="11">
        <v>0</v>
      </c>
      <c r="G30" s="11">
        <v>0</v>
      </c>
      <c r="H30" s="11">
        <v>0</v>
      </c>
      <c r="I30" s="11">
        <v>0</v>
      </c>
      <c r="J30" s="11">
        <v>10</v>
      </c>
      <c r="K30">
        <v>0</v>
      </c>
      <c r="L30" s="109">
        <v>150</v>
      </c>
      <c r="M30" s="110">
        <v>89.5</v>
      </c>
      <c r="N30" s="96">
        <f t="shared" si="1"/>
        <v>2.6785714285714284</v>
      </c>
      <c r="O30" s="98">
        <v>1.5982142857142858</v>
      </c>
      <c r="P30" s="107">
        <f>O30/O46</f>
        <v>1.4547226361385387E-2</v>
      </c>
      <c r="Q30" s="108">
        <f t="shared" si="2"/>
        <v>1.387744526979214E-2</v>
      </c>
      <c r="R30" s="77">
        <v>142297</v>
      </c>
      <c r="S30" s="34">
        <v>169696</v>
      </c>
      <c r="T30" s="34">
        <f t="shared" si="3"/>
        <v>2541.0178571428573</v>
      </c>
      <c r="U30" s="34">
        <f t="shared" si="4"/>
        <v>3030.2857142857142</v>
      </c>
      <c r="V30" s="48">
        <f>U30/U46</f>
        <v>2.4613893313060804E-2</v>
      </c>
      <c r="W30" s="48">
        <f t="shared" si="5"/>
        <v>2.3428055524477708E-2</v>
      </c>
      <c r="X30" s="48">
        <f t="shared" si="8"/>
        <v>1.8573893142055556E-2</v>
      </c>
      <c r="Y30" s="48">
        <f t="shared" si="9"/>
        <v>1.7697689371666367E-2</v>
      </c>
      <c r="Z30" s="26">
        <f t="shared" ref="Z30:Z43" si="18">(0.6*AW30)+(0.4*BE30)</f>
        <v>-0.26492891322578394</v>
      </c>
      <c r="AA30" s="26">
        <v>-0.31</v>
      </c>
      <c r="AB30">
        <v>-0.33</v>
      </c>
      <c r="AC30" s="244"/>
      <c r="AD30" s="37"/>
      <c r="AE30" s="37"/>
      <c r="AF30" s="69"/>
      <c r="AG30" s="37"/>
      <c r="AH30" s="23"/>
      <c r="AI30" s="23"/>
      <c r="AO30">
        <v>300</v>
      </c>
      <c r="AP30">
        <v>312</v>
      </c>
      <c r="AQ30">
        <f t="shared" ref="AQ30:AQ43" si="19">AO30-AP30</f>
        <v>-12</v>
      </c>
      <c r="AR30">
        <v>301</v>
      </c>
      <c r="AS30">
        <v>281</v>
      </c>
      <c r="AT30">
        <f t="shared" si="10"/>
        <v>-1</v>
      </c>
      <c r="AU30">
        <v>31</v>
      </c>
      <c r="AV30" s="23">
        <v>-0.48599999999999999</v>
      </c>
      <c r="AW30" s="23">
        <v>-0.47499999999999998</v>
      </c>
      <c r="AX30" s="34">
        <v>142297</v>
      </c>
      <c r="AY30" s="77">
        <v>176117</v>
      </c>
      <c r="AZ30">
        <v>157815</v>
      </c>
      <c r="BA30" s="34">
        <v>157437.04999999999</v>
      </c>
      <c r="BB30">
        <f t="shared" ref="BB30:BB43" si="20">AX28-AZ30</f>
        <v>-157815</v>
      </c>
      <c r="BC30" s="34">
        <f t="shared" si="12"/>
        <v>18679.950000000012</v>
      </c>
      <c r="BD30" s="23">
        <v>-4.4999999999999998E-2</v>
      </c>
      <c r="BE30" s="23">
        <f t="shared" si="13"/>
        <v>5.017771693554017E-2</v>
      </c>
      <c r="BF30" s="23">
        <f t="shared" si="14"/>
        <v>-0.30299999999999999</v>
      </c>
    </row>
    <row r="31" spans="1:58" x14ac:dyDescent="0.25">
      <c r="A31" s="9" t="s">
        <v>92</v>
      </c>
      <c r="B31" s="9" t="s">
        <v>97</v>
      </c>
      <c r="C31" s="1">
        <f t="shared" si="0"/>
        <v>89</v>
      </c>
      <c r="D31" s="11">
        <v>0</v>
      </c>
      <c r="E31" s="11">
        <v>0</v>
      </c>
      <c r="F31" s="11">
        <v>0</v>
      </c>
      <c r="G31" s="11">
        <v>0</v>
      </c>
      <c r="H31" s="11">
        <v>51</v>
      </c>
      <c r="I31" s="11">
        <v>38</v>
      </c>
      <c r="J31" s="11">
        <v>0</v>
      </c>
      <c r="K31">
        <v>0</v>
      </c>
      <c r="L31" s="109">
        <v>183.5</v>
      </c>
      <c r="M31" s="110">
        <v>131</v>
      </c>
      <c r="N31" s="96">
        <f t="shared" si="1"/>
        <v>2.0617977528089888</v>
      </c>
      <c r="O31" s="98">
        <v>1.4719101123595506</v>
      </c>
      <c r="P31" s="107">
        <f>O31/O46</f>
        <v>1.3397583652893503E-2</v>
      </c>
      <c r="Q31" s="108">
        <f t="shared" si="2"/>
        <v>1.0681994576208543E-2</v>
      </c>
      <c r="R31" s="77">
        <v>120238</v>
      </c>
      <c r="S31" s="34">
        <v>793658</v>
      </c>
      <c r="T31" s="34">
        <f t="shared" si="3"/>
        <v>1350.9887640449438</v>
      </c>
      <c r="U31" s="34">
        <f t="shared" si="4"/>
        <v>8917.5056179775274</v>
      </c>
      <c r="V31" s="48">
        <f>U31/U46</f>
        <v>7.2433609433180959E-2</v>
      </c>
      <c r="W31" s="48">
        <f t="shared" si="5"/>
        <v>1.245604775583087E-2</v>
      </c>
      <c r="X31" s="48">
        <f t="shared" si="8"/>
        <v>3.7011993965008483E-2</v>
      </c>
      <c r="Y31" s="48">
        <f t="shared" si="9"/>
        <v>1.1391615848057474E-2</v>
      </c>
      <c r="Z31" s="26">
        <f t="shared" si="18"/>
        <v>-0.60327791972394407</v>
      </c>
      <c r="AA31" s="26">
        <v>-0.59599999999999997</v>
      </c>
      <c r="AB31">
        <v>0.15</v>
      </c>
      <c r="AC31" s="244"/>
      <c r="AD31" s="37"/>
      <c r="AE31" s="37"/>
      <c r="AF31" s="69"/>
      <c r="AG31" s="37"/>
      <c r="AH31" s="23"/>
      <c r="AI31" s="23"/>
      <c r="AO31">
        <v>367</v>
      </c>
      <c r="AP31">
        <v>367</v>
      </c>
      <c r="AQ31">
        <f t="shared" si="19"/>
        <v>0</v>
      </c>
      <c r="AR31">
        <v>478</v>
      </c>
      <c r="AS31">
        <v>446</v>
      </c>
      <c r="AT31">
        <f t="shared" si="10"/>
        <v>-111</v>
      </c>
      <c r="AU31">
        <v>-79</v>
      </c>
      <c r="AV31" s="23">
        <v>-0.77500000000000002</v>
      </c>
      <c r="AW31" s="23">
        <v>-0.745</v>
      </c>
      <c r="AX31" s="34">
        <v>120238</v>
      </c>
      <c r="AY31" s="77">
        <v>120238</v>
      </c>
      <c r="AZ31">
        <v>262431</v>
      </c>
      <c r="BA31" s="34">
        <v>251086.46</v>
      </c>
      <c r="BB31">
        <f t="shared" si="20"/>
        <v>-262431</v>
      </c>
      <c r="BC31" s="34">
        <f t="shared" si="12"/>
        <v>-130848.45999999999</v>
      </c>
      <c r="BD31" s="23">
        <v>-0.32900000000000001</v>
      </c>
      <c r="BE31" s="23">
        <f t="shared" si="13"/>
        <v>-0.39069479930986006</v>
      </c>
      <c r="BF31" s="23">
        <f t="shared" si="14"/>
        <v>-0.5786</v>
      </c>
    </row>
    <row r="32" spans="1:58" x14ac:dyDescent="0.25">
      <c r="A32" s="9" t="s">
        <v>92</v>
      </c>
      <c r="B32" s="46" t="s">
        <v>96</v>
      </c>
      <c r="C32" s="1">
        <f t="shared" si="0"/>
        <v>77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>
        <v>77</v>
      </c>
      <c r="L32" s="109">
        <v>146.5</v>
      </c>
      <c r="M32" s="110">
        <v>206</v>
      </c>
      <c r="N32" s="96">
        <f t="shared" si="1"/>
        <v>1.9025974025974026</v>
      </c>
      <c r="O32" s="98">
        <v>2.6753246753246751</v>
      </c>
      <c r="P32" s="107">
        <f>O32/O46</f>
        <v>2.4351273787265731E-2</v>
      </c>
      <c r="Q32" s="108">
        <f t="shared" si="2"/>
        <v>9.8571914279978121E-3</v>
      </c>
      <c r="R32" s="77">
        <v>36623</v>
      </c>
      <c r="S32" s="34">
        <v>133816</v>
      </c>
      <c r="T32" s="34">
        <f t="shared" si="3"/>
        <v>475.6233766233766</v>
      </c>
      <c r="U32" s="34">
        <f t="shared" si="4"/>
        <v>1737.8701298701299</v>
      </c>
      <c r="V32" s="48">
        <f>U32/U46</f>
        <v>1.4116078152934636E-2</v>
      </c>
      <c r="W32" s="48">
        <f t="shared" si="5"/>
        <v>4.3852233643100992E-3</v>
      </c>
      <c r="X32" s="48">
        <f t="shared" si="8"/>
        <v>2.0257195533533293E-2</v>
      </c>
      <c r="Y32" s="48">
        <f t="shared" si="9"/>
        <v>7.6684042025227271E-3</v>
      </c>
      <c r="Z32" s="26">
        <f t="shared" si="18"/>
        <v>-0.56006503496414162</v>
      </c>
      <c r="AA32" s="26">
        <v>-0.65100000000000002</v>
      </c>
      <c r="AB32">
        <v>-0.111</v>
      </c>
      <c r="AC32" s="244"/>
      <c r="AD32" s="37"/>
      <c r="AE32" s="37"/>
      <c r="AF32" s="69"/>
      <c r="AG32" s="37"/>
      <c r="AH32" s="23"/>
      <c r="AI32" s="23"/>
      <c r="AO32">
        <v>293</v>
      </c>
      <c r="AP32">
        <v>385</v>
      </c>
      <c r="AQ32">
        <f t="shared" si="19"/>
        <v>-92</v>
      </c>
      <c r="AR32">
        <v>413</v>
      </c>
      <c r="AS32">
        <v>386</v>
      </c>
      <c r="AT32">
        <f t="shared" si="10"/>
        <v>-120</v>
      </c>
      <c r="AU32">
        <v>-1</v>
      </c>
      <c r="AV32" s="23">
        <v>-0.79900000000000004</v>
      </c>
      <c r="AW32" s="23">
        <v>-0.55400000000000005</v>
      </c>
      <c r="AX32" s="34">
        <v>36623</v>
      </c>
      <c r="AY32" s="77">
        <v>25617</v>
      </c>
      <c r="AZ32">
        <v>223856</v>
      </c>
      <c r="BA32" s="34">
        <v>216995.44</v>
      </c>
      <c r="BB32">
        <f t="shared" si="20"/>
        <v>-81559</v>
      </c>
      <c r="BC32" s="34">
        <f t="shared" si="12"/>
        <v>-191378.44</v>
      </c>
      <c r="BD32" s="23">
        <v>-0.43</v>
      </c>
      <c r="BE32" s="23">
        <f t="shared" si="13"/>
        <v>-0.56916258741035386</v>
      </c>
      <c r="BF32" s="23">
        <f t="shared" si="14"/>
        <v>-0.50440000000000007</v>
      </c>
    </row>
    <row r="33" spans="1:58" x14ac:dyDescent="0.25">
      <c r="A33" s="7" t="s">
        <v>92</v>
      </c>
      <c r="B33" s="7" t="s">
        <v>98</v>
      </c>
      <c r="C33" s="1">
        <f t="shared" si="0"/>
        <v>55</v>
      </c>
      <c r="D33" s="11">
        <v>2</v>
      </c>
      <c r="E33" s="11">
        <v>8</v>
      </c>
      <c r="F33" s="11">
        <v>13</v>
      </c>
      <c r="G33" s="11">
        <v>13</v>
      </c>
      <c r="H33" s="11">
        <v>2</v>
      </c>
      <c r="I33" s="11">
        <v>7</v>
      </c>
      <c r="J33" s="11">
        <v>8</v>
      </c>
      <c r="K33" s="33">
        <v>2</v>
      </c>
      <c r="L33" s="100">
        <v>174</v>
      </c>
      <c r="M33" s="110">
        <v>87.5</v>
      </c>
      <c r="N33" s="96">
        <f t="shared" si="1"/>
        <v>3.1636363636363636</v>
      </c>
      <c r="O33" s="98">
        <v>1.5909090909090908</v>
      </c>
      <c r="P33" s="107">
        <f>O33/O46</f>
        <v>1.4480733198738117E-2</v>
      </c>
      <c r="Q33" s="108">
        <f t="shared" si="2"/>
        <v>1.6390524449558137E-2</v>
      </c>
      <c r="R33" s="77">
        <v>874663</v>
      </c>
      <c r="S33" s="34">
        <v>562411</v>
      </c>
      <c r="T33" s="34">
        <f t="shared" si="3"/>
        <v>15902.963636363636</v>
      </c>
      <c r="U33" s="34">
        <f t="shared" si="4"/>
        <v>10225.654545454545</v>
      </c>
      <c r="V33" s="48">
        <f>U33/U46</f>
        <v>8.3059220736669534E-2</v>
      </c>
      <c r="W33" s="48">
        <f t="shared" si="5"/>
        <v>0.1466245166397234</v>
      </c>
      <c r="X33" s="48">
        <f t="shared" si="8"/>
        <v>4.1912128213910681E-2</v>
      </c>
      <c r="Y33" s="48">
        <f t="shared" si="9"/>
        <v>6.8484121325624245E-2</v>
      </c>
      <c r="Z33" s="25">
        <f t="shared" si="18"/>
        <v>0.6342541848779728</v>
      </c>
      <c r="AA33" s="26">
        <v>0.434</v>
      </c>
      <c r="AB33">
        <v>9.4E-2</v>
      </c>
      <c r="AC33" s="243">
        <v>130562.09415723543</v>
      </c>
      <c r="AD33" s="67">
        <f>AG33*AM$3</f>
        <v>200560.04871614298</v>
      </c>
      <c r="AE33" s="70"/>
      <c r="AF33" s="70">
        <f>AD33-AC33</f>
        <v>69997.954558907542</v>
      </c>
      <c r="AG33" s="67">
        <f>C33*AI33</f>
        <v>3.7269051052818005</v>
      </c>
      <c r="AH33" s="23"/>
      <c r="AI33" s="23">
        <f>Z33/AN$2</f>
        <v>6.7761911005123646E-2</v>
      </c>
      <c r="AO33">
        <v>348</v>
      </c>
      <c r="AP33">
        <v>356</v>
      </c>
      <c r="AQ33">
        <f t="shared" si="19"/>
        <v>-8</v>
      </c>
      <c r="AR33">
        <v>295</v>
      </c>
      <c r="AS33">
        <v>276</v>
      </c>
      <c r="AT33">
        <f t="shared" si="10"/>
        <v>53</v>
      </c>
      <c r="AU33">
        <v>80</v>
      </c>
      <c r="AV33" s="23">
        <v>-0.34499999999999997</v>
      </c>
      <c r="AW33" s="23">
        <v>-0.35499999999999998</v>
      </c>
      <c r="AX33" s="34">
        <v>874663</v>
      </c>
      <c r="AY33" s="77">
        <v>874663</v>
      </c>
      <c r="AZ33">
        <v>154724</v>
      </c>
      <c r="BA33" s="34">
        <v>154604.71</v>
      </c>
      <c r="BB33">
        <f t="shared" si="20"/>
        <v>-34486</v>
      </c>
      <c r="BC33" s="34">
        <f t="shared" si="12"/>
        <v>720058.29</v>
      </c>
      <c r="BD33" s="23">
        <v>1.603</v>
      </c>
      <c r="BE33" s="23">
        <f t="shared" si="13"/>
        <v>2.1181354621949318</v>
      </c>
      <c r="BF33" s="23">
        <f t="shared" si="14"/>
        <v>0.42820000000000003</v>
      </c>
    </row>
    <row r="34" spans="1:58" x14ac:dyDescent="0.25">
      <c r="A34" s="9" t="s">
        <v>99</v>
      </c>
      <c r="B34" s="117" t="s">
        <v>196</v>
      </c>
      <c r="C34" s="1">
        <f t="shared" si="0"/>
        <v>24</v>
      </c>
      <c r="D34">
        <v>0</v>
      </c>
      <c r="E34" s="8">
        <v>8</v>
      </c>
      <c r="F34">
        <v>0</v>
      </c>
      <c r="G34">
        <v>0</v>
      </c>
      <c r="H34">
        <v>0</v>
      </c>
      <c r="I34" s="8">
        <v>16</v>
      </c>
      <c r="J34">
        <v>0</v>
      </c>
      <c r="K34">
        <v>0</v>
      </c>
      <c r="L34" s="109">
        <v>485</v>
      </c>
      <c r="M34" s="110">
        <v>230.5</v>
      </c>
      <c r="N34" s="96">
        <f t="shared" si="1"/>
        <v>20.208333333333332</v>
      </c>
      <c r="O34" s="98">
        <v>9.6041666666666661</v>
      </c>
      <c r="P34" s="107">
        <f>O34/O46</f>
        <v>8.7418807203334517E-2</v>
      </c>
      <c r="Q34" s="108">
        <f t="shared" si="2"/>
        <v>0.10469761486876515</v>
      </c>
      <c r="R34" s="77">
        <v>42900</v>
      </c>
      <c r="S34" s="34">
        <v>91221</v>
      </c>
      <c r="T34" s="34">
        <f t="shared" si="3"/>
        <v>1787.5</v>
      </c>
      <c r="U34" s="34">
        <f t="shared" si="4"/>
        <v>3800.875</v>
      </c>
      <c r="V34" s="48">
        <f>U34/U46</f>
        <v>3.0873105894020359E-2</v>
      </c>
      <c r="W34" s="48">
        <f t="shared" si="5"/>
        <v>1.648065917060949E-2</v>
      </c>
      <c r="X34" s="48">
        <f t="shared" si="8"/>
        <v>6.4800526679608852E-2</v>
      </c>
      <c r="Y34" s="48">
        <f t="shared" si="9"/>
        <v>6.9410832589502883E-2</v>
      </c>
      <c r="Z34" s="25">
        <f t="shared" si="18"/>
        <v>0.87916577696902554</v>
      </c>
      <c r="AA34" s="26">
        <v>1.012</v>
      </c>
      <c r="AB34" s="73">
        <v>0.53300000000000003</v>
      </c>
      <c r="AC34" s="243">
        <v>118202.74072365975</v>
      </c>
      <c r="AD34" s="67">
        <f>AG34*AM$3</f>
        <v>121311.06384615818</v>
      </c>
      <c r="AE34" s="67" t="e">
        <f>C34*AH34</f>
        <v>#VALUE!</v>
      </c>
      <c r="AF34" s="70">
        <f>AD34-AC34</f>
        <v>3108.3231224984338</v>
      </c>
      <c r="AG34" s="67">
        <f>C34*AI34</f>
        <v>2.2542616342066282</v>
      </c>
      <c r="AH34" s="23" t="e">
        <f>AB34/AM2</f>
        <v>#VALUE!</v>
      </c>
      <c r="AI34" s="23">
        <f>Z34/AN$2</f>
        <v>9.3927568091942831E-2</v>
      </c>
      <c r="AO34">
        <v>970</v>
      </c>
      <c r="AP34">
        <v>962</v>
      </c>
      <c r="AQ34">
        <f t="shared" si="19"/>
        <v>8</v>
      </c>
      <c r="AR34">
        <v>129</v>
      </c>
      <c r="AS34">
        <v>120</v>
      </c>
      <c r="AT34">
        <f t="shared" si="10"/>
        <v>841</v>
      </c>
      <c r="AU34">
        <v>842</v>
      </c>
      <c r="AV34" s="25">
        <v>1.7230000000000001</v>
      </c>
      <c r="AW34" s="23">
        <v>1.516</v>
      </c>
      <c r="AX34" s="34">
        <v>42900</v>
      </c>
      <c r="AY34" s="77">
        <v>42900</v>
      </c>
      <c r="AZ34">
        <v>62260</v>
      </c>
      <c r="BA34" s="34">
        <v>67044.100000000006</v>
      </c>
      <c r="BB34">
        <f t="shared" si="20"/>
        <v>-25637</v>
      </c>
      <c r="BC34" s="34">
        <f t="shared" si="12"/>
        <v>-24144.100000000006</v>
      </c>
      <c r="BD34" s="23">
        <v>-5.2999999999999999E-2</v>
      </c>
      <c r="BE34" s="23">
        <f t="shared" si="13"/>
        <v>-7.6085557577435931E-2</v>
      </c>
      <c r="BF34" s="23">
        <f t="shared" si="14"/>
        <v>0.88839999999999997</v>
      </c>
    </row>
    <row r="35" spans="1:58" x14ac:dyDescent="0.25">
      <c r="A35" s="9" t="s">
        <v>111</v>
      </c>
      <c r="B35" s="117" t="s">
        <v>194</v>
      </c>
      <c r="C35" s="1">
        <f t="shared" si="0"/>
        <v>32</v>
      </c>
      <c r="D35">
        <v>0</v>
      </c>
      <c r="E35" s="11">
        <v>21</v>
      </c>
      <c r="F35">
        <v>0</v>
      </c>
      <c r="G35">
        <v>0</v>
      </c>
      <c r="H35">
        <v>0</v>
      </c>
      <c r="I35">
        <v>11</v>
      </c>
      <c r="J35">
        <v>0</v>
      </c>
      <c r="K35">
        <v>0</v>
      </c>
      <c r="L35" s="109">
        <v>109.5</v>
      </c>
      <c r="M35" s="110">
        <v>23</v>
      </c>
      <c r="N35" s="96">
        <f t="shared" si="1"/>
        <v>3.421875</v>
      </c>
      <c r="O35" s="98">
        <v>0.71875</v>
      </c>
      <c r="P35" s="107">
        <f>O35/O46</f>
        <v>6.5421883915727569E-3</v>
      </c>
      <c r="Q35" s="108">
        <f t="shared" si="2"/>
        <v>1.772843633215946E-2</v>
      </c>
      <c r="R35" s="77">
        <v>0</v>
      </c>
      <c r="S35" s="34">
        <v>0</v>
      </c>
      <c r="T35" s="34">
        <f t="shared" si="3"/>
        <v>0</v>
      </c>
      <c r="U35" s="34">
        <f t="shared" si="4"/>
        <v>0</v>
      </c>
      <c r="V35" s="48">
        <f>U35/U46</f>
        <v>0</v>
      </c>
      <c r="W35" s="48">
        <f t="shared" si="5"/>
        <v>0</v>
      </c>
      <c r="X35" s="48">
        <f t="shared" si="8"/>
        <v>3.9253130349436536E-3</v>
      </c>
      <c r="Y35" s="48">
        <f t="shared" si="9"/>
        <v>1.0637061799295676E-2</v>
      </c>
      <c r="Z35" s="26">
        <f t="shared" si="18"/>
        <v>-0.34401418109681142</v>
      </c>
      <c r="AA35" s="26">
        <v>-0.29699999999999999</v>
      </c>
      <c r="AB35">
        <v>-0.52900000000000003</v>
      </c>
      <c r="AC35" s="244"/>
      <c r="AD35" s="37"/>
      <c r="AE35" s="37"/>
      <c r="AF35" s="69"/>
      <c r="AG35" s="37"/>
      <c r="AH35" s="23"/>
      <c r="AI35" s="23"/>
      <c r="AO35">
        <v>219</v>
      </c>
      <c r="AP35">
        <v>224</v>
      </c>
      <c r="AQ35">
        <f t="shared" si="19"/>
        <v>-5</v>
      </c>
      <c r="AR35">
        <v>172</v>
      </c>
      <c r="AS35">
        <v>160</v>
      </c>
      <c r="AT35">
        <f t="shared" si="10"/>
        <v>47</v>
      </c>
      <c r="AU35">
        <v>64</v>
      </c>
      <c r="AV35" s="23">
        <v>-0.36</v>
      </c>
      <c r="AW35" s="23">
        <v>-0.39400000000000002</v>
      </c>
      <c r="AX35" s="34">
        <v>0</v>
      </c>
      <c r="AY35" s="77">
        <v>0</v>
      </c>
      <c r="AZ35">
        <v>85380</v>
      </c>
      <c r="BA35" s="34">
        <v>89585.9</v>
      </c>
      <c r="BB35">
        <f t="shared" si="20"/>
        <v>789283</v>
      </c>
      <c r="BC35" s="34">
        <f t="shared" si="12"/>
        <v>-89585.9</v>
      </c>
      <c r="BD35" s="23">
        <v>-0.20100000000000001</v>
      </c>
      <c r="BE35" s="23">
        <f t="shared" si="13"/>
        <v>-0.26903545274202856</v>
      </c>
      <c r="BF35" s="23">
        <f t="shared" si="14"/>
        <v>-0.31680000000000003</v>
      </c>
    </row>
    <row r="36" spans="1:58" x14ac:dyDescent="0.25">
      <c r="A36" s="9" t="s">
        <v>114</v>
      </c>
      <c r="B36" s="117" t="s">
        <v>195</v>
      </c>
      <c r="C36" s="1">
        <f t="shared" si="0"/>
        <v>33</v>
      </c>
      <c r="D36">
        <v>0</v>
      </c>
      <c r="E36">
        <v>16</v>
      </c>
      <c r="F36">
        <v>0</v>
      </c>
      <c r="G36">
        <v>0</v>
      </c>
      <c r="H36">
        <v>0</v>
      </c>
      <c r="I36" s="12">
        <v>17</v>
      </c>
      <c r="J36">
        <v>0</v>
      </c>
      <c r="K36">
        <v>0</v>
      </c>
      <c r="L36" s="109">
        <v>208.5</v>
      </c>
      <c r="M36" s="110">
        <v>38.5</v>
      </c>
      <c r="N36" s="96">
        <f t="shared" si="1"/>
        <v>6.3181818181818183</v>
      </c>
      <c r="O36" s="98">
        <v>1.1666666666666667</v>
      </c>
      <c r="P36" s="107">
        <f>O36/O46</f>
        <v>1.0619204345741288E-2</v>
      </c>
      <c r="Q36" s="108">
        <f t="shared" si="2"/>
        <v>3.273394969092789E-2</v>
      </c>
      <c r="R36" s="77">
        <v>121617</v>
      </c>
      <c r="S36" s="34">
        <v>119784</v>
      </c>
      <c r="T36" s="34">
        <f t="shared" si="3"/>
        <v>3685.3636363636365</v>
      </c>
      <c r="U36" s="34">
        <f t="shared" si="4"/>
        <v>3629.818181818182</v>
      </c>
      <c r="V36" s="48">
        <f>U36/U46</f>
        <v>2.9483674444256435E-2</v>
      </c>
      <c r="W36" s="48">
        <f t="shared" si="5"/>
        <v>3.3978865460513062E-2</v>
      </c>
      <c r="X36" s="48">
        <f t="shared" si="8"/>
        <v>1.8164992385147349E-2</v>
      </c>
      <c r="Y36" s="48">
        <f t="shared" si="9"/>
        <v>3.3231915998761956E-2</v>
      </c>
      <c r="Z36" s="26">
        <f t="shared" si="18"/>
        <v>0.11109005481337905</v>
      </c>
      <c r="AA36" s="26">
        <v>0.113</v>
      </c>
      <c r="AB36">
        <v>-0.34399999999999997</v>
      </c>
      <c r="AC36" s="244"/>
      <c r="AD36" s="37"/>
      <c r="AE36" s="37"/>
      <c r="AF36" s="69"/>
      <c r="AG36" s="37"/>
      <c r="AH36" s="23"/>
      <c r="AI36" s="23"/>
      <c r="AO36">
        <v>417</v>
      </c>
      <c r="AP36">
        <v>443</v>
      </c>
      <c r="AQ36">
        <f t="shared" si="19"/>
        <v>-26</v>
      </c>
      <c r="AR36">
        <v>177</v>
      </c>
      <c r="AS36">
        <v>165</v>
      </c>
      <c r="AT36">
        <f t="shared" si="10"/>
        <v>240</v>
      </c>
      <c r="AU36">
        <v>278</v>
      </c>
      <c r="AV36" s="23">
        <v>0.14599999999999999</v>
      </c>
      <c r="AW36" s="23">
        <v>0.13100000000000001</v>
      </c>
      <c r="AX36" s="34">
        <v>121617</v>
      </c>
      <c r="AY36" s="77">
        <v>121617</v>
      </c>
      <c r="AZ36">
        <v>88314</v>
      </c>
      <c r="BA36" s="34">
        <v>92406.86</v>
      </c>
      <c r="BB36">
        <f t="shared" si="20"/>
        <v>-45414</v>
      </c>
      <c r="BC36" s="34">
        <f t="shared" si="12"/>
        <v>29210.14</v>
      </c>
      <c r="BD36" s="23">
        <v>6.5000000000000002E-2</v>
      </c>
      <c r="BE36" s="23">
        <f t="shared" si="13"/>
        <v>8.1225137033447622E-2</v>
      </c>
      <c r="BF36" s="23">
        <f t="shared" si="14"/>
        <v>0.1046</v>
      </c>
    </row>
    <row r="37" spans="1:58" x14ac:dyDescent="0.25">
      <c r="A37" s="9" t="s">
        <v>118</v>
      </c>
      <c r="B37" s="9" t="s">
        <v>119</v>
      </c>
      <c r="C37" s="1">
        <f t="shared" si="0"/>
        <v>17</v>
      </c>
      <c r="D37">
        <v>0</v>
      </c>
      <c r="E37">
        <v>17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 s="109">
        <v>149.5</v>
      </c>
      <c r="M37" s="110">
        <v>8</v>
      </c>
      <c r="N37" s="96">
        <f t="shared" si="1"/>
        <v>8.7941176470588243</v>
      </c>
      <c r="O37" s="98">
        <v>0.47058823529411764</v>
      </c>
      <c r="P37" s="107">
        <f>O37/O46</f>
        <v>4.2833765428200148E-3</v>
      </c>
      <c r="Q37" s="108">
        <f t="shared" si="2"/>
        <v>4.5561557568117576E-2</v>
      </c>
      <c r="R37" s="77">
        <v>0</v>
      </c>
      <c r="S37" s="34">
        <v>720</v>
      </c>
      <c r="T37" s="34">
        <f t="shared" si="3"/>
        <v>0</v>
      </c>
      <c r="U37" s="34">
        <f t="shared" si="4"/>
        <v>42.352941176470587</v>
      </c>
      <c r="V37" s="48">
        <f>U37/U46</f>
        <v>3.4401732176522293E-4</v>
      </c>
      <c r="W37" s="48">
        <f t="shared" si="5"/>
        <v>0</v>
      </c>
      <c r="X37" s="48">
        <f t="shared" si="8"/>
        <v>2.707632854398098E-3</v>
      </c>
      <c r="Y37" s="48">
        <f t="shared" si="9"/>
        <v>2.7336934540870547E-2</v>
      </c>
      <c r="Z37" s="26">
        <f t="shared" si="18"/>
        <v>-7.2221940709726373E-2</v>
      </c>
      <c r="AA37" s="26">
        <v>-5.0000000000000001E-3</v>
      </c>
      <c r="AB37">
        <v>-0.42499999999999999</v>
      </c>
      <c r="AC37" s="244"/>
      <c r="AD37" s="37"/>
      <c r="AE37" s="37"/>
      <c r="AF37" s="69"/>
      <c r="AG37" s="37"/>
      <c r="AH37" s="23"/>
      <c r="AI37" s="23"/>
      <c r="AO37">
        <v>299</v>
      </c>
      <c r="AP37">
        <v>300</v>
      </c>
      <c r="AQ37">
        <f t="shared" si="19"/>
        <v>-1</v>
      </c>
      <c r="AR37">
        <v>91</v>
      </c>
      <c r="AS37">
        <v>85</v>
      </c>
      <c r="AT37">
        <f t="shared" si="10"/>
        <v>208</v>
      </c>
      <c r="AU37">
        <v>215</v>
      </c>
      <c r="AV37" s="23">
        <v>6.2E-2</v>
      </c>
      <c r="AW37" s="23">
        <v>-2.4E-2</v>
      </c>
      <c r="AX37" s="34">
        <v>0</v>
      </c>
      <c r="AY37" s="77">
        <v>0</v>
      </c>
      <c r="AZ37">
        <v>42639</v>
      </c>
      <c r="BA37" s="34">
        <v>47366.47</v>
      </c>
      <c r="BB37">
        <f t="shared" si="20"/>
        <v>-42639</v>
      </c>
      <c r="BC37" s="34">
        <f t="shared" si="12"/>
        <v>-47366.47</v>
      </c>
      <c r="BD37" s="23">
        <v>-0.106</v>
      </c>
      <c r="BE37" s="23">
        <f t="shared" si="13"/>
        <v>-0.14455485177431593</v>
      </c>
      <c r="BF37" s="23">
        <f t="shared" si="14"/>
        <v>-5.6800000000000003E-2</v>
      </c>
    </row>
    <row r="38" spans="1:58" x14ac:dyDescent="0.25">
      <c r="A38" s="7" t="s">
        <v>118</v>
      </c>
      <c r="B38" s="118" t="s">
        <v>197</v>
      </c>
      <c r="C38" s="1">
        <f t="shared" si="0"/>
        <v>8</v>
      </c>
      <c r="D38">
        <v>0</v>
      </c>
      <c r="E38">
        <v>8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 s="109">
        <v>135.5</v>
      </c>
      <c r="M38" s="110">
        <v>14</v>
      </c>
      <c r="N38" s="96">
        <f t="shared" si="1"/>
        <v>16.9375</v>
      </c>
      <c r="O38" s="98">
        <v>1.75</v>
      </c>
      <c r="P38" s="107">
        <f>O38/O46</f>
        <v>1.5928806518611931E-2</v>
      </c>
      <c r="Q38" s="108">
        <f t="shared" si="2"/>
        <v>8.7751712255985645E-2</v>
      </c>
      <c r="R38" s="77">
        <v>0</v>
      </c>
      <c r="S38" s="34">
        <v>0</v>
      </c>
      <c r="T38" s="34">
        <f t="shared" si="3"/>
        <v>0</v>
      </c>
      <c r="U38" s="34">
        <f t="shared" si="4"/>
        <v>0</v>
      </c>
      <c r="V38" s="48">
        <f>U38/U46</f>
        <v>0</v>
      </c>
      <c r="W38" s="48">
        <f t="shared" si="5"/>
        <v>0</v>
      </c>
      <c r="X38" s="48">
        <f t="shared" si="8"/>
        <v>9.5572839111671588E-3</v>
      </c>
      <c r="Y38" s="48">
        <f t="shared" si="9"/>
        <v>5.2651027353591388E-2</v>
      </c>
      <c r="Z38" s="26">
        <f t="shared" si="18"/>
        <v>-1.8498956657400228E-2</v>
      </c>
      <c r="AA38" s="26">
        <v>4.8000000000000001E-2</v>
      </c>
      <c r="AB38">
        <v>-0.30099999999999999</v>
      </c>
      <c r="AC38" s="244"/>
      <c r="AD38" s="37"/>
      <c r="AE38" s="37"/>
      <c r="AF38" s="69"/>
      <c r="AG38" s="37"/>
      <c r="AH38" s="23"/>
      <c r="AI38" s="23"/>
      <c r="AO38">
        <v>271</v>
      </c>
      <c r="AP38">
        <v>271</v>
      </c>
      <c r="AQ38">
        <f t="shared" si="19"/>
        <v>0</v>
      </c>
      <c r="AR38">
        <v>43</v>
      </c>
      <c r="AS38">
        <v>40</v>
      </c>
      <c r="AT38">
        <f t="shared" si="10"/>
        <v>228</v>
      </c>
      <c r="AU38">
        <v>231</v>
      </c>
      <c r="AV38" s="23">
        <v>0.114</v>
      </c>
      <c r="AW38" s="23">
        <v>1.6E-2</v>
      </c>
      <c r="AX38" s="34">
        <v>0</v>
      </c>
      <c r="AY38" s="77">
        <v>0</v>
      </c>
      <c r="AZ38">
        <v>18640</v>
      </c>
      <c r="BA38" s="34">
        <v>22164</v>
      </c>
      <c r="BB38">
        <f t="shared" si="20"/>
        <v>102977</v>
      </c>
      <c r="BC38" s="34">
        <f t="shared" si="12"/>
        <v>-22164</v>
      </c>
      <c r="BD38" s="23">
        <v>-5.1999999999999998E-2</v>
      </c>
      <c r="BE38" s="23">
        <f t="shared" si="13"/>
        <v>-7.0247391643500565E-2</v>
      </c>
      <c r="BF38" s="23">
        <f t="shared" si="14"/>
        <v>-1.12E-2</v>
      </c>
    </row>
    <row r="39" spans="1:58" x14ac:dyDescent="0.25">
      <c r="A39" s="9" t="s">
        <v>129</v>
      </c>
      <c r="B39" s="9" t="s">
        <v>132</v>
      </c>
      <c r="C39" s="1">
        <f t="shared" si="0"/>
        <v>17</v>
      </c>
      <c r="D39">
        <v>0</v>
      </c>
      <c r="E39">
        <v>0</v>
      </c>
      <c r="F39">
        <v>0</v>
      </c>
      <c r="G39">
        <v>17</v>
      </c>
      <c r="H39">
        <v>0</v>
      </c>
      <c r="I39">
        <v>0</v>
      </c>
      <c r="J39">
        <v>0</v>
      </c>
      <c r="K39">
        <v>0</v>
      </c>
      <c r="L39" s="109">
        <v>82</v>
      </c>
      <c r="M39" s="110">
        <v>49</v>
      </c>
      <c r="N39" s="96">
        <f t="shared" si="1"/>
        <v>4.8235294117647056</v>
      </c>
      <c r="O39" s="98">
        <v>2.8823529411764706</v>
      </c>
      <c r="P39" s="107">
        <f>O39/O46</f>
        <v>2.6235681324772591E-2</v>
      </c>
      <c r="Q39" s="108">
        <f t="shared" si="2"/>
        <v>2.499028575642569E-2</v>
      </c>
      <c r="R39" s="77">
        <v>0</v>
      </c>
      <c r="S39" s="34">
        <v>0</v>
      </c>
      <c r="T39" s="34">
        <f t="shared" si="3"/>
        <v>0</v>
      </c>
      <c r="U39" s="34">
        <f t="shared" si="4"/>
        <v>0</v>
      </c>
      <c r="V39" s="48">
        <f>U39/U46</f>
        <v>0</v>
      </c>
      <c r="W39" s="48">
        <f t="shared" si="5"/>
        <v>0</v>
      </c>
      <c r="X39" s="48">
        <f t="shared" si="8"/>
        <v>1.5741408794863555E-2</v>
      </c>
      <c r="Y39" s="48">
        <f t="shared" si="9"/>
        <v>1.4994171453855414E-2</v>
      </c>
      <c r="Z39" s="26">
        <f t="shared" si="18"/>
        <v>-0.27202194070972635</v>
      </c>
      <c r="AA39" s="26">
        <v>-0.218</v>
      </c>
      <c r="AB39">
        <v>-0.253</v>
      </c>
      <c r="AC39" s="244"/>
      <c r="AD39" s="37"/>
      <c r="AE39" s="37"/>
      <c r="AF39" s="69"/>
      <c r="AG39" s="37"/>
      <c r="AH39" s="23"/>
      <c r="AI39" s="23"/>
      <c r="AO39">
        <v>164</v>
      </c>
      <c r="AP39">
        <v>164</v>
      </c>
      <c r="AQ39">
        <f t="shared" si="19"/>
        <v>0</v>
      </c>
      <c r="AR39">
        <v>91</v>
      </c>
      <c r="AS39">
        <v>85</v>
      </c>
      <c r="AT39">
        <f t="shared" si="10"/>
        <v>73</v>
      </c>
      <c r="AU39">
        <v>79</v>
      </c>
      <c r="AV39" s="23">
        <v>-0.29199999999999998</v>
      </c>
      <c r="AW39" s="23">
        <v>-0.35699999999999998</v>
      </c>
      <c r="AX39" s="34">
        <v>0</v>
      </c>
      <c r="AY39" s="77">
        <v>0</v>
      </c>
      <c r="AZ39">
        <v>42639</v>
      </c>
      <c r="BA39" s="34">
        <v>47366.47</v>
      </c>
      <c r="BB39">
        <f t="shared" si="20"/>
        <v>-42639</v>
      </c>
      <c r="BC39" s="34">
        <f t="shared" si="12"/>
        <v>-47366.47</v>
      </c>
      <c r="BD39" s="23">
        <v>-0.106</v>
      </c>
      <c r="BE39" s="23">
        <f t="shared" si="13"/>
        <v>-0.14455485177431593</v>
      </c>
      <c r="BF39" s="23">
        <f t="shared" si="14"/>
        <v>-0.25659999999999999</v>
      </c>
    </row>
    <row r="40" spans="1:58" x14ac:dyDescent="0.25">
      <c r="A40" s="7" t="s">
        <v>129</v>
      </c>
      <c r="B40" s="7" t="s">
        <v>134</v>
      </c>
      <c r="C40" s="1">
        <f t="shared" si="0"/>
        <v>27</v>
      </c>
      <c r="D40">
        <v>0</v>
      </c>
      <c r="E40">
        <v>0</v>
      </c>
      <c r="F40">
        <v>27</v>
      </c>
      <c r="G40">
        <v>0</v>
      </c>
      <c r="H40">
        <v>0</v>
      </c>
      <c r="I40">
        <v>0</v>
      </c>
      <c r="J40">
        <v>0</v>
      </c>
      <c r="K40">
        <v>0</v>
      </c>
      <c r="L40" s="109">
        <v>82.5</v>
      </c>
      <c r="M40" s="110">
        <v>37.5</v>
      </c>
      <c r="N40" s="96">
        <f t="shared" si="1"/>
        <v>3.0555555555555554</v>
      </c>
      <c r="O40" s="98">
        <v>1.3888888888888888</v>
      </c>
      <c r="P40" s="107">
        <f>O40/O46</f>
        <v>1.2641909935406294E-2</v>
      </c>
      <c r="Q40" s="108">
        <f t="shared" si="2"/>
        <v>1.5830567196651775E-2</v>
      </c>
      <c r="R40" s="77">
        <v>0</v>
      </c>
      <c r="S40" s="34">
        <v>0</v>
      </c>
      <c r="T40" s="34">
        <f t="shared" si="3"/>
        <v>0</v>
      </c>
      <c r="U40" s="34">
        <f t="shared" si="4"/>
        <v>0</v>
      </c>
      <c r="V40" s="48">
        <f>U40/U46</f>
        <v>0</v>
      </c>
      <c r="W40" s="48">
        <f t="shared" si="5"/>
        <v>0</v>
      </c>
      <c r="X40" s="48">
        <f t="shared" si="8"/>
        <v>7.5851459612437762E-3</v>
      </c>
      <c r="Y40" s="48">
        <f t="shared" si="9"/>
        <v>9.498340317991065E-3</v>
      </c>
      <c r="Z40" s="26">
        <f t="shared" si="18"/>
        <v>-0.37779169820417807</v>
      </c>
      <c r="AA40" s="26">
        <v>-0.32600000000000001</v>
      </c>
      <c r="AB40">
        <v>-0.41199999999999998</v>
      </c>
      <c r="AC40" s="244"/>
      <c r="AD40" s="37"/>
      <c r="AE40" s="37"/>
      <c r="AF40" s="69"/>
      <c r="AG40" s="37"/>
      <c r="AH40" s="23"/>
      <c r="AI40" s="23"/>
      <c r="AO40">
        <v>165</v>
      </c>
      <c r="AP40">
        <v>165</v>
      </c>
      <c r="AQ40">
        <f t="shared" si="19"/>
        <v>0</v>
      </c>
      <c r="AR40">
        <v>145</v>
      </c>
      <c r="AS40">
        <v>135</v>
      </c>
      <c r="AT40">
        <f t="shared" si="10"/>
        <v>20</v>
      </c>
      <c r="AU40">
        <v>30</v>
      </c>
      <c r="AV40" s="23">
        <v>-0.43099999999999999</v>
      </c>
      <c r="AW40" s="23">
        <v>-0.47799999999999998</v>
      </c>
      <c r="AX40" s="34">
        <v>0</v>
      </c>
      <c r="AY40" s="77">
        <v>0</v>
      </c>
      <c r="AZ40">
        <v>70853</v>
      </c>
      <c r="BA40" s="34">
        <v>75491.5</v>
      </c>
      <c r="BB40">
        <f t="shared" si="20"/>
        <v>-70853</v>
      </c>
      <c r="BC40" s="34">
        <f t="shared" si="12"/>
        <v>-75491.5</v>
      </c>
      <c r="BD40" s="23">
        <v>-0.16900000000000001</v>
      </c>
      <c r="BE40" s="23">
        <f t="shared" si="13"/>
        <v>-0.22747924551044518</v>
      </c>
      <c r="BF40" s="23">
        <f t="shared" si="14"/>
        <v>-0.35439999999999999</v>
      </c>
    </row>
    <row r="41" spans="1:58" x14ac:dyDescent="0.25">
      <c r="A41" s="7" t="s">
        <v>135</v>
      </c>
      <c r="B41" s="118" t="s">
        <v>198</v>
      </c>
      <c r="C41" s="1">
        <f t="shared" si="0"/>
        <v>18</v>
      </c>
      <c r="D41">
        <v>0</v>
      </c>
      <c r="E41" s="8">
        <v>6</v>
      </c>
      <c r="F41">
        <v>0</v>
      </c>
      <c r="G41">
        <v>0</v>
      </c>
      <c r="H41">
        <v>0</v>
      </c>
      <c r="I41" s="8">
        <v>12</v>
      </c>
      <c r="J41">
        <v>0</v>
      </c>
      <c r="K41">
        <v>0</v>
      </c>
      <c r="L41" s="109">
        <v>24.5</v>
      </c>
      <c r="M41" s="110">
        <v>11</v>
      </c>
      <c r="N41" s="96">
        <f t="shared" si="1"/>
        <v>1.3611111111111112</v>
      </c>
      <c r="O41" s="98">
        <v>0.61111111111111116</v>
      </c>
      <c r="P41" s="107">
        <f>O41/O46</f>
        <v>5.5624403715787696E-3</v>
      </c>
      <c r="Q41" s="108">
        <f t="shared" si="2"/>
        <v>7.0517981148721558E-3</v>
      </c>
      <c r="R41" s="77">
        <v>0</v>
      </c>
      <c r="S41" s="34">
        <v>0</v>
      </c>
      <c r="T41" s="34">
        <f t="shared" si="3"/>
        <v>0</v>
      </c>
      <c r="U41" s="34">
        <f t="shared" si="4"/>
        <v>0</v>
      </c>
      <c r="V41" s="48">
        <f>U41/U46</f>
        <v>0</v>
      </c>
      <c r="W41" s="48">
        <f t="shared" si="5"/>
        <v>0</v>
      </c>
      <c r="X41" s="48">
        <f t="shared" si="8"/>
        <v>3.3374642229472618E-3</v>
      </c>
      <c r="Y41" s="48">
        <f t="shared" si="9"/>
        <v>4.2310788689232937E-3</v>
      </c>
      <c r="Z41" s="26">
        <f t="shared" si="18"/>
        <v>-0.45053341706666616</v>
      </c>
      <c r="AA41" s="26">
        <v>-0.442</v>
      </c>
      <c r="AB41">
        <v>-0.42499999999999999</v>
      </c>
      <c r="AC41" s="244"/>
      <c r="AD41" s="37"/>
      <c r="AE41" s="37"/>
      <c r="AF41" s="69"/>
      <c r="AG41" s="37"/>
      <c r="AH41" s="23"/>
      <c r="AI41" s="23"/>
      <c r="AO41">
        <v>29</v>
      </c>
      <c r="AP41">
        <v>50</v>
      </c>
      <c r="AQ41">
        <f t="shared" si="19"/>
        <v>-21</v>
      </c>
      <c r="AR41">
        <v>97</v>
      </c>
      <c r="AS41">
        <v>90</v>
      </c>
      <c r="AT41">
        <f t="shared" si="10"/>
        <v>-68</v>
      </c>
      <c r="AU41">
        <v>-40</v>
      </c>
      <c r="AV41" s="23">
        <v>-0.66200000000000003</v>
      </c>
      <c r="AW41" s="23">
        <v>-0.64900000000000002</v>
      </c>
      <c r="AX41" s="34">
        <v>0</v>
      </c>
      <c r="AY41" s="77">
        <v>0</v>
      </c>
      <c r="AZ41">
        <v>45400</v>
      </c>
      <c r="BA41" s="34">
        <v>50174.31</v>
      </c>
      <c r="BB41">
        <f t="shared" si="20"/>
        <v>-45400</v>
      </c>
      <c r="BC41" s="34">
        <f t="shared" si="12"/>
        <v>-50174.31</v>
      </c>
      <c r="BD41" s="23">
        <v>-0.112</v>
      </c>
      <c r="BE41" s="23">
        <f t="shared" si="13"/>
        <v>-0.15283354266666532</v>
      </c>
      <c r="BF41" s="23">
        <f t="shared" si="14"/>
        <v>-0.43420000000000003</v>
      </c>
    </row>
    <row r="42" spans="1:58" x14ac:dyDescent="0.25">
      <c r="A42" s="9" t="s">
        <v>140</v>
      </c>
      <c r="B42" s="117" t="s">
        <v>199</v>
      </c>
      <c r="C42" s="1">
        <f t="shared" si="0"/>
        <v>9</v>
      </c>
      <c r="D42">
        <v>0</v>
      </c>
      <c r="E42">
        <v>1</v>
      </c>
      <c r="F42">
        <v>0</v>
      </c>
      <c r="G42">
        <v>0</v>
      </c>
      <c r="H42">
        <v>0</v>
      </c>
      <c r="I42">
        <v>8</v>
      </c>
      <c r="J42">
        <v>0</v>
      </c>
      <c r="K42">
        <v>0</v>
      </c>
      <c r="L42" s="109">
        <v>8</v>
      </c>
      <c r="M42" s="110">
        <v>3.5</v>
      </c>
      <c r="N42" s="96">
        <f t="shared" si="1"/>
        <v>0.88888888888888884</v>
      </c>
      <c r="O42" s="98">
        <v>0.3888888888888889</v>
      </c>
      <c r="P42" s="107">
        <f>O42/O46</f>
        <v>3.5397347819137621E-3</v>
      </c>
      <c r="Q42" s="108">
        <f t="shared" si="2"/>
        <v>4.605255911753244E-3</v>
      </c>
      <c r="R42" s="77">
        <v>0</v>
      </c>
      <c r="S42" s="34">
        <v>0</v>
      </c>
      <c r="T42" s="34">
        <f t="shared" si="3"/>
        <v>0</v>
      </c>
      <c r="U42" s="34">
        <f t="shared" si="4"/>
        <v>0</v>
      </c>
      <c r="V42" s="48">
        <f>U42/U46</f>
        <v>0</v>
      </c>
      <c r="W42" s="48">
        <f t="shared" si="5"/>
        <v>0</v>
      </c>
      <c r="X42" s="48">
        <f t="shared" si="8"/>
        <v>2.1238408691482574E-3</v>
      </c>
      <c r="Y42" s="48">
        <f t="shared" si="9"/>
        <v>2.7631535470519462E-3</v>
      </c>
      <c r="Z42" s="26">
        <f t="shared" si="18"/>
        <v>-0.40459248303494205</v>
      </c>
      <c r="AA42" s="26">
        <v>-0.36399999999999999</v>
      </c>
      <c r="AB42">
        <v>-0.35499999999999998</v>
      </c>
      <c r="AC42" s="244"/>
      <c r="AD42" s="37"/>
      <c r="AE42" s="37"/>
      <c r="AF42" s="69"/>
      <c r="AG42" s="37"/>
      <c r="AH42" s="23"/>
      <c r="AI42" s="23"/>
      <c r="AO42">
        <v>16</v>
      </c>
      <c r="AP42">
        <v>16</v>
      </c>
      <c r="AQ42">
        <f t="shared" si="19"/>
        <v>0</v>
      </c>
      <c r="AR42">
        <v>48</v>
      </c>
      <c r="AS42">
        <v>45</v>
      </c>
      <c r="AT42">
        <f t="shared" si="10"/>
        <v>-32</v>
      </c>
      <c r="AU42">
        <v>-29</v>
      </c>
      <c r="AV42" s="23">
        <v>-0.56799999999999995</v>
      </c>
      <c r="AW42" s="23">
        <v>-0.622</v>
      </c>
      <c r="AX42" s="34">
        <v>0</v>
      </c>
      <c r="AY42" s="77">
        <v>0</v>
      </c>
      <c r="AZ42">
        <v>21213</v>
      </c>
      <c r="BA42" s="34">
        <v>24956.62</v>
      </c>
      <c r="BB42">
        <f t="shared" si="20"/>
        <v>-21213</v>
      </c>
      <c r="BC42" s="34">
        <f t="shared" si="12"/>
        <v>-24956.62</v>
      </c>
      <c r="BD42">
        <v>-5.8000000000000003E-2</v>
      </c>
      <c r="BE42" s="23">
        <f t="shared" si="13"/>
        <v>-7.8481207587355176E-2</v>
      </c>
      <c r="BF42" s="23">
        <f t="shared" si="14"/>
        <v>-0.39639999999999997</v>
      </c>
    </row>
    <row r="43" spans="1:58" ht="15.75" thickBot="1" x14ac:dyDescent="0.3">
      <c r="A43" s="7" t="s">
        <v>141</v>
      </c>
      <c r="B43" s="7" t="s">
        <v>142</v>
      </c>
      <c r="C43" s="1">
        <f t="shared" si="0"/>
        <v>14</v>
      </c>
      <c r="D43">
        <v>0</v>
      </c>
      <c r="E43">
        <v>0</v>
      </c>
      <c r="F43">
        <v>0</v>
      </c>
      <c r="G43">
        <v>0</v>
      </c>
      <c r="H43">
        <v>0</v>
      </c>
      <c r="I43">
        <v>14</v>
      </c>
      <c r="J43">
        <v>0</v>
      </c>
      <c r="K43">
        <v>0</v>
      </c>
      <c r="L43" s="111">
        <v>27</v>
      </c>
      <c r="M43" s="112">
        <v>11</v>
      </c>
      <c r="N43" s="113">
        <f t="shared" si="1"/>
        <v>1.9285714285714286</v>
      </c>
      <c r="O43" s="104">
        <v>0.7857142857142857</v>
      </c>
      <c r="P43" s="114">
        <f>O43/O46</f>
        <v>7.1517090491727033E-3</v>
      </c>
      <c r="Q43" s="115">
        <f t="shared" si="2"/>
        <v>9.9917605942503422E-3</v>
      </c>
      <c r="R43" s="77">
        <v>14977</v>
      </c>
      <c r="S43" s="34">
        <v>0</v>
      </c>
      <c r="T43" s="34">
        <f t="shared" si="3"/>
        <v>1069.7857142857142</v>
      </c>
      <c r="U43" s="34">
        <f t="shared" si="4"/>
        <v>0</v>
      </c>
      <c r="V43" s="48">
        <f>U43/U46</f>
        <v>0</v>
      </c>
      <c r="W43" s="48">
        <f t="shared" si="5"/>
        <v>9.8633699260027297E-3</v>
      </c>
      <c r="X43" s="48">
        <f t="shared" si="8"/>
        <v>4.2910254295036214E-3</v>
      </c>
      <c r="Y43" s="48">
        <f t="shared" si="9"/>
        <v>9.9404043269512975E-3</v>
      </c>
      <c r="Z43" s="26">
        <f t="shared" si="18"/>
        <v>-0.38483328232862113</v>
      </c>
      <c r="AA43" s="26">
        <v>-0.34499999999999997</v>
      </c>
      <c r="AB43">
        <v>-0.38</v>
      </c>
      <c r="AC43" s="244"/>
      <c r="AD43" s="37"/>
      <c r="AE43" s="37"/>
      <c r="AF43" s="69"/>
      <c r="AG43" s="37"/>
      <c r="AH43" s="23"/>
      <c r="AI43" s="23"/>
      <c r="AO43">
        <v>54</v>
      </c>
      <c r="AP43">
        <v>54</v>
      </c>
      <c r="AQ43">
        <f t="shared" si="19"/>
        <v>0</v>
      </c>
      <c r="AR43">
        <v>75</v>
      </c>
      <c r="AS43">
        <v>70</v>
      </c>
      <c r="AT43">
        <f t="shared" si="10"/>
        <v>-21</v>
      </c>
      <c r="AU43">
        <v>-16</v>
      </c>
      <c r="AV43" s="23">
        <v>-0.53900000000000003</v>
      </c>
      <c r="AW43" s="23">
        <v>-0.59099999999999997</v>
      </c>
      <c r="AX43" s="34">
        <v>14977</v>
      </c>
      <c r="AY43" s="77">
        <v>14977</v>
      </c>
      <c r="AZ43">
        <v>34455</v>
      </c>
      <c r="BA43" s="34">
        <v>38950.720000000001</v>
      </c>
      <c r="BB43">
        <f t="shared" si="20"/>
        <v>-34455</v>
      </c>
      <c r="BC43" s="34">
        <f t="shared" si="12"/>
        <v>-23973.72</v>
      </c>
      <c r="BD43">
        <v>-5.3999999999999999E-2</v>
      </c>
      <c r="BE43" s="23">
        <f t="shared" si="13"/>
        <v>-7.5583205821552923E-2</v>
      </c>
      <c r="BF43" s="23">
        <f t="shared" si="14"/>
        <v>-0.37619999999999998</v>
      </c>
    </row>
    <row r="44" spans="1:58" x14ac:dyDescent="0.25">
      <c r="C44" s="1">
        <f t="shared" si="0"/>
        <v>2341</v>
      </c>
      <c r="D44" s="1">
        <f t="shared" ref="D44:K44" si="21">SUM(D3:D43)</f>
        <v>394</v>
      </c>
      <c r="E44" s="1">
        <f t="shared" si="21"/>
        <v>193</v>
      </c>
      <c r="F44" s="1">
        <f t="shared" si="21"/>
        <v>176</v>
      </c>
      <c r="G44" s="1">
        <f t="shared" si="21"/>
        <v>592</v>
      </c>
      <c r="H44" s="1">
        <f t="shared" si="21"/>
        <v>205</v>
      </c>
      <c r="I44" s="1">
        <f t="shared" si="21"/>
        <v>521</v>
      </c>
      <c r="J44" s="1">
        <f t="shared" si="21"/>
        <v>148</v>
      </c>
      <c r="K44" s="17">
        <f t="shared" si="21"/>
        <v>112</v>
      </c>
      <c r="L44" s="18">
        <f>SUM(L3:L43)</f>
        <v>9828</v>
      </c>
      <c r="M44" s="1">
        <f>SUM(M3:M43)</f>
        <v>6882</v>
      </c>
      <c r="N44" s="54">
        <f t="shared" si="1"/>
        <v>4.1982058949167023</v>
      </c>
      <c r="O44" s="81">
        <v>2.9397693293464333</v>
      </c>
      <c r="P44" s="82">
        <f>SUM(P3:P43)</f>
        <v>0.99999999999999944</v>
      </c>
      <c r="Q44" s="82">
        <f>SUM(Q3:Q43)</f>
        <v>1.0000000000000002</v>
      </c>
      <c r="R44" s="116">
        <f>SUM(R3:R43)</f>
        <v>7006819</v>
      </c>
      <c r="S44" s="55">
        <f>SUM(S3:S43)</f>
        <v>6900043</v>
      </c>
      <c r="T44" s="55">
        <f t="shared" si="3"/>
        <v>2993.0879965826571</v>
      </c>
      <c r="U44" s="55">
        <f t="shared" si="4"/>
        <v>2947.476719350705</v>
      </c>
      <c r="V44" s="82">
        <f>SUM(V3:V43)</f>
        <v>1.0000000000000002</v>
      </c>
      <c r="W44" s="82">
        <f>SUM(W3:W43)</f>
        <v>1</v>
      </c>
      <c r="X44" s="57">
        <f>SUM(X3:X43)</f>
        <v>1.0000000000000002</v>
      </c>
      <c r="Y44" s="57">
        <f>SUM(Y3:Y43)</f>
        <v>1</v>
      </c>
      <c r="Z44" s="82"/>
      <c r="AA44" s="82"/>
      <c r="AB44" s="57"/>
      <c r="AC44" s="82"/>
      <c r="AD44" s="61">
        <f t="shared" ref="AD44:AH44" si="22">SUM(AD3:AD43)</f>
        <v>5152235.8581983009</v>
      </c>
      <c r="AE44" s="61" t="e">
        <f t="shared" si="22"/>
        <v>#VALUE!</v>
      </c>
      <c r="AF44" s="70"/>
      <c r="AG44" s="61">
        <f>SUM(AG3:AG43)</f>
        <v>95.741371456845187</v>
      </c>
      <c r="AH44" s="60" t="e">
        <f t="shared" si="22"/>
        <v>#VALUE!</v>
      </c>
      <c r="AI44" s="60">
        <f>SUM(AI3:AI43)</f>
        <v>0.99999999999999989</v>
      </c>
      <c r="AO44" s="1">
        <f>SUM(AO3:AO43)</f>
        <v>19736</v>
      </c>
      <c r="AP44" s="1">
        <f>SUM(AP3:AP43)</f>
        <v>20474</v>
      </c>
      <c r="AQ44" s="1">
        <f>SUM(AQ3:AQ43)</f>
        <v>-738</v>
      </c>
      <c r="AX44" s="55">
        <f>SUM(AX3:AX43)</f>
        <v>7006819</v>
      </c>
      <c r="AY44" s="55">
        <f>SUM(AY3:AY43)</f>
        <v>6652560.3599999994</v>
      </c>
    </row>
    <row r="45" spans="1:58" x14ac:dyDescent="0.25">
      <c r="N45" s="83" t="s">
        <v>161</v>
      </c>
      <c r="O45" s="83" t="s">
        <v>161</v>
      </c>
      <c r="S45" s="34"/>
      <c r="T45" s="39" t="s">
        <v>161</v>
      </c>
      <c r="U45" s="39" t="s">
        <v>161</v>
      </c>
      <c r="Z45" s="16"/>
      <c r="AA45" s="16"/>
      <c r="AP45" s="163">
        <f>(AO44/AP44)*100</f>
        <v>96.395428348148869</v>
      </c>
      <c r="BB45" s="1" t="s">
        <v>319</v>
      </c>
      <c r="BC45" s="34">
        <f>AVERAGE(BC3:BC15,BC17:BC28,BC30:BC43)</f>
        <v>1661.4379487179447</v>
      </c>
    </row>
    <row r="46" spans="1:58" ht="18.75" x14ac:dyDescent="0.3">
      <c r="A46" s="14"/>
      <c r="N46" s="54">
        <f>SUM(N3:N43)</f>
        <v>193.01617671676456</v>
      </c>
      <c r="O46" s="81">
        <f>SUM(O3:O43)</f>
        <v>109.86384936970775</v>
      </c>
      <c r="S46" s="34"/>
      <c r="T46" s="56">
        <f>SUM(T3:T43)</f>
        <v>108460.46759996764</v>
      </c>
      <c r="U46" s="56">
        <f>SUM(U3:U43)</f>
        <v>123112.81582900832</v>
      </c>
      <c r="Z46" s="16"/>
      <c r="AA46" s="16"/>
      <c r="BB46" s="1" t="s">
        <v>316</v>
      </c>
      <c r="BC46">
        <f>STDEV(BC3:BC15,BC17:BC28,BC30:BC43)</f>
        <v>339164.7346798295</v>
      </c>
    </row>
    <row r="47" spans="1:58" ht="18.75" x14ac:dyDescent="0.3">
      <c r="A47" s="14"/>
      <c r="Z47" s="16"/>
    </row>
    <row r="48" spans="1:58" ht="18.75" x14ac:dyDescent="0.3">
      <c r="A48" s="14"/>
      <c r="Z48" s="16"/>
    </row>
    <row r="49" spans="1:1" ht="18.75" x14ac:dyDescent="0.3">
      <c r="A49" s="14"/>
    </row>
    <row r="50" spans="1:1" ht="18.75" x14ac:dyDescent="0.3">
      <c r="A50" s="14"/>
    </row>
    <row r="51" spans="1:1" ht="18.75" x14ac:dyDescent="0.3">
      <c r="A51" s="14"/>
    </row>
    <row r="52" spans="1:1" ht="18.75" x14ac:dyDescent="0.3">
      <c r="A52" s="14"/>
    </row>
    <row r="53" spans="1:1" ht="18.75" x14ac:dyDescent="0.3">
      <c r="A53" s="14"/>
    </row>
    <row r="54" spans="1:1" ht="18.75" x14ac:dyDescent="0.3">
      <c r="A54" s="14"/>
    </row>
    <row r="55" spans="1:1" ht="18.75" x14ac:dyDescent="0.3">
      <c r="A55" s="14"/>
    </row>
    <row r="56" spans="1:1" ht="18.75" x14ac:dyDescent="0.3">
      <c r="A56" s="14"/>
    </row>
    <row r="57" spans="1:1" ht="18.75" x14ac:dyDescent="0.3">
      <c r="A57" s="14"/>
    </row>
    <row r="58" spans="1:1" ht="18.75" x14ac:dyDescent="0.3">
      <c r="A58" s="14"/>
    </row>
    <row r="59" spans="1:1" ht="18.75" x14ac:dyDescent="0.3">
      <c r="A59" s="14"/>
    </row>
    <row r="60" spans="1:1" ht="18.75" x14ac:dyDescent="0.3">
      <c r="A60" s="14"/>
    </row>
    <row r="61" spans="1:1" ht="18.75" x14ac:dyDescent="0.3">
      <c r="A61" s="14"/>
    </row>
    <row r="62" spans="1:1" ht="18.75" x14ac:dyDescent="0.3">
      <c r="A62" s="14"/>
    </row>
    <row r="63" spans="1:1" ht="18.75" x14ac:dyDescent="0.3">
      <c r="A63" s="14"/>
    </row>
    <row r="64" spans="1:1" ht="18.75" x14ac:dyDescent="0.3">
      <c r="A64" s="14"/>
    </row>
    <row r="65" spans="1:1" ht="18.75" x14ac:dyDescent="0.3">
      <c r="A65" s="14"/>
    </row>
    <row r="66" spans="1:1" ht="18.75" x14ac:dyDescent="0.3">
      <c r="A66" s="14"/>
    </row>
    <row r="67" spans="1:1" ht="18.75" x14ac:dyDescent="0.3">
      <c r="A67" s="14"/>
    </row>
    <row r="68" spans="1:1" ht="18.75" x14ac:dyDescent="0.3">
      <c r="A68" s="14"/>
    </row>
    <row r="69" spans="1:1" ht="18.75" x14ac:dyDescent="0.3">
      <c r="A69" s="14"/>
    </row>
    <row r="70" spans="1:1" ht="18.75" x14ac:dyDescent="0.3">
      <c r="A70" s="14"/>
    </row>
  </sheetData>
  <dataValidations disablePrompts="1" count="1">
    <dataValidation type="list" showInputMessage="1" showErrorMessage="1" sqref="D1:J1">
      <formula1>$A$46:$A$70</formula1>
    </dataValidation>
  </dataValidations>
  <pageMargins left="0.75" right="0.75" top="1" bottom="1" header="0.5" footer="0.5"/>
  <pageSetup paperSize="9" orientation="portrait" r:id="rId1"/>
  <ignoredErrors>
    <ignoredError sqref="C3:C43 O4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40"/>
  <sheetViews>
    <sheetView tabSelected="1" topLeftCell="C1" workbookViewId="0">
      <pane ySplit="2" topLeftCell="A3" activePane="bottomLeft" state="frozen"/>
      <selection pane="bottomLeft" activeCell="Z3" sqref="Z3"/>
    </sheetView>
  </sheetViews>
  <sheetFormatPr defaultColWidth="8.7109375" defaultRowHeight="15" x14ac:dyDescent="0.25"/>
  <cols>
    <col min="1" max="1" width="44.140625" customWidth="1"/>
    <col min="2" max="2" width="47.140625" bestFit="1" customWidth="1"/>
    <col min="3" max="3" width="9" style="1" customWidth="1"/>
    <col min="4" max="4" width="16.85546875" customWidth="1"/>
    <col min="5" max="5" width="16.85546875" style="16" hidden="1" customWidth="1"/>
    <col min="6" max="6" width="13.28515625" hidden="1" customWidth="1"/>
    <col min="7" max="8" width="16.28515625" hidden="1" customWidth="1"/>
    <col min="9" max="9" width="13.85546875" hidden="1" customWidth="1"/>
    <col min="10" max="10" width="15.140625" hidden="1" customWidth="1"/>
    <col min="11" max="12" width="20.140625" hidden="1" customWidth="1"/>
    <col min="13" max="14" width="14.7109375" hidden="1" customWidth="1"/>
    <col min="15" max="16" width="13.85546875" hidden="1" customWidth="1"/>
    <col min="17" max="17" width="14" hidden="1" customWidth="1"/>
    <col min="18" max="18" width="14" style="16" hidden="1" customWidth="1"/>
    <col min="19" max="19" width="15.140625" style="16" bestFit="1" customWidth="1"/>
    <col min="20" max="20" width="14.140625" hidden="1" customWidth="1"/>
    <col min="21" max="21" width="22.5703125" bestFit="1" customWidth="1"/>
    <col min="22" max="22" width="26.140625" bestFit="1" customWidth="1"/>
    <col min="23" max="23" width="13.7109375" customWidth="1"/>
    <col min="24" max="24" width="11.140625" hidden="1" customWidth="1"/>
    <col min="25" max="25" width="12.85546875" bestFit="1" customWidth="1"/>
    <col min="26" max="26" width="16.42578125" bestFit="1" customWidth="1"/>
    <col min="27" max="27" width="16.42578125" customWidth="1"/>
    <col min="28" max="28" width="11.7109375" bestFit="1" customWidth="1"/>
    <col min="29" max="29" width="19.140625" bestFit="1" customWidth="1"/>
    <col min="30" max="30" width="22.7109375" bestFit="1" customWidth="1"/>
    <col min="31" max="31" width="12.7109375" style="16" bestFit="1" customWidth="1"/>
    <col min="32" max="32" width="11.7109375" hidden="1" customWidth="1"/>
    <col min="33" max="33" width="20.140625" bestFit="1" customWidth="1"/>
    <col min="34" max="34" width="24.7109375" bestFit="1" customWidth="1"/>
    <col min="35" max="35" width="11.140625" bestFit="1" customWidth="1"/>
    <col min="36" max="36" width="0" hidden="1" customWidth="1"/>
    <col min="37" max="37" width="12.140625" hidden="1" customWidth="1"/>
    <col min="38" max="38" width="13.140625" bestFit="1" customWidth="1"/>
    <col min="39" max="39" width="20.42578125" bestFit="1" customWidth="1"/>
    <col min="40" max="40" width="24" bestFit="1" customWidth="1"/>
    <col min="41" max="41" width="12.28515625" bestFit="1" customWidth="1"/>
    <col min="42" max="42" width="17.42578125" bestFit="1" customWidth="1"/>
    <col min="43" max="43" width="22" bestFit="1" customWidth="1"/>
    <col min="44" max="44" width="9.140625" bestFit="1" customWidth="1"/>
    <col min="45" max="45" width="17.42578125" bestFit="1" customWidth="1"/>
    <col min="46" max="46" width="6.42578125" bestFit="1" customWidth="1"/>
    <col min="48" max="48" width="16.28515625" bestFit="1" customWidth="1"/>
    <col min="49" max="49" width="9.7109375" bestFit="1" customWidth="1"/>
    <col min="50" max="50" width="17" bestFit="1" customWidth="1"/>
    <col min="51" max="51" width="12.28515625" bestFit="1" customWidth="1"/>
    <col min="52" max="52" width="19.7109375" bestFit="1" customWidth="1"/>
    <col min="53" max="53" width="9.5703125" bestFit="1" customWidth="1"/>
    <col min="54" max="54" width="16.85546875" bestFit="1" customWidth="1"/>
    <col min="56" max="56" width="15.85546875" bestFit="1" customWidth="1"/>
    <col min="57" max="57" width="11.7109375" bestFit="1" customWidth="1"/>
    <col min="58" max="58" width="15.85546875" bestFit="1" customWidth="1"/>
    <col min="60" max="60" width="14.7109375" bestFit="1" customWidth="1"/>
  </cols>
  <sheetData>
    <row r="1" spans="1:60" ht="75" x14ac:dyDescent="0.25">
      <c r="C1" s="2" t="s">
        <v>144</v>
      </c>
      <c r="D1" s="4" t="s">
        <v>23</v>
      </c>
      <c r="E1" s="85" t="s">
        <v>159</v>
      </c>
      <c r="F1" s="86" t="s">
        <v>159</v>
      </c>
      <c r="G1" s="88" t="s">
        <v>152</v>
      </c>
      <c r="H1" s="88" t="s">
        <v>152</v>
      </c>
      <c r="I1" s="88"/>
      <c r="J1" s="89"/>
      <c r="K1" s="21" t="s">
        <v>153</v>
      </c>
      <c r="L1" s="21" t="s">
        <v>153</v>
      </c>
      <c r="M1" s="21"/>
      <c r="N1" s="21"/>
      <c r="O1" s="21"/>
      <c r="P1" s="21"/>
      <c r="AI1" s="66"/>
      <c r="AO1" t="s">
        <v>181</v>
      </c>
      <c r="AP1" s="232" t="s">
        <v>322</v>
      </c>
      <c r="AQ1" s="247" t="s">
        <v>347</v>
      </c>
    </row>
    <row r="2" spans="1:60" x14ac:dyDescent="0.25">
      <c r="A2" s="5" t="s">
        <v>0</v>
      </c>
      <c r="B2" s="5" t="s">
        <v>1</v>
      </c>
      <c r="C2" s="6"/>
      <c r="E2" s="90" t="s">
        <v>185</v>
      </c>
      <c r="F2" s="91" t="s">
        <v>193</v>
      </c>
      <c r="G2" s="91" t="s">
        <v>188</v>
      </c>
      <c r="H2" s="91" t="s">
        <v>187</v>
      </c>
      <c r="I2" s="92" t="s">
        <v>190</v>
      </c>
      <c r="J2" s="93" t="s">
        <v>189</v>
      </c>
      <c r="K2" s="1" t="s">
        <v>171</v>
      </c>
      <c r="L2" s="1" t="s">
        <v>170</v>
      </c>
      <c r="M2" s="1" t="s">
        <v>191</v>
      </c>
      <c r="N2" s="1" t="s">
        <v>192</v>
      </c>
      <c r="O2" s="1" t="s">
        <v>189</v>
      </c>
      <c r="P2" s="1" t="s">
        <v>190</v>
      </c>
      <c r="Q2" s="1" t="s">
        <v>176</v>
      </c>
      <c r="R2" s="1" t="s">
        <v>177</v>
      </c>
      <c r="S2" s="1" t="s">
        <v>175</v>
      </c>
      <c r="T2" s="1" t="s">
        <v>174</v>
      </c>
      <c r="U2" s="1" t="s">
        <v>261</v>
      </c>
      <c r="V2" s="1" t="s">
        <v>346</v>
      </c>
      <c r="W2" s="1" t="s">
        <v>158</v>
      </c>
      <c r="X2" s="1" t="s">
        <v>178</v>
      </c>
      <c r="Y2" s="1" t="s">
        <v>262</v>
      </c>
      <c r="Z2" s="1" t="s">
        <v>345</v>
      </c>
      <c r="AA2" s="245" t="s">
        <v>344</v>
      </c>
      <c r="AB2" s="1" t="s">
        <v>182</v>
      </c>
      <c r="AC2" s="1" t="s">
        <v>323</v>
      </c>
      <c r="AD2" s="1" t="s">
        <v>349</v>
      </c>
      <c r="AE2" s="1" t="s">
        <v>200</v>
      </c>
      <c r="AF2" s="1" t="s">
        <v>179</v>
      </c>
      <c r="AG2" s="1" t="s">
        <v>321</v>
      </c>
      <c r="AH2" s="1" t="s">
        <v>348</v>
      </c>
      <c r="AI2" s="1" t="s">
        <v>163</v>
      </c>
      <c r="AJ2" s="1" t="s">
        <v>2</v>
      </c>
      <c r="AK2" s="16"/>
      <c r="AL2" s="39" t="s">
        <v>184</v>
      </c>
      <c r="AM2" s="39" t="s">
        <v>324</v>
      </c>
      <c r="AN2" s="39" t="s">
        <v>350</v>
      </c>
      <c r="AO2" s="25">
        <f>SUM(S3,S4,S5)</f>
        <v>3.2829999999999999</v>
      </c>
      <c r="AP2" s="25">
        <f>SUM(U3:U5)</f>
        <v>3.2814825692683858</v>
      </c>
      <c r="AQ2" s="25">
        <f>SUM(V3:V5)</f>
        <v>3.2823540098818498</v>
      </c>
      <c r="AR2" s="1" t="s">
        <v>239</v>
      </c>
      <c r="AS2" s="1" t="s">
        <v>263</v>
      </c>
      <c r="AT2" s="1" t="s">
        <v>256</v>
      </c>
      <c r="AU2" s="1" t="s">
        <v>240</v>
      </c>
      <c r="AV2" s="1" t="s">
        <v>257</v>
      </c>
      <c r="AW2" s="1" t="s">
        <v>241</v>
      </c>
      <c r="AX2" s="1" t="s">
        <v>258</v>
      </c>
      <c r="AY2" s="1" t="s">
        <v>242</v>
      </c>
      <c r="AZ2" s="1" t="s">
        <v>259</v>
      </c>
      <c r="BA2" s="1" t="s">
        <v>243</v>
      </c>
      <c r="BB2" s="1" t="s">
        <v>328</v>
      </c>
      <c r="BC2" s="1" t="s">
        <v>244</v>
      </c>
      <c r="BD2" s="1" t="s">
        <v>336</v>
      </c>
      <c r="BE2" s="1" t="s">
        <v>245</v>
      </c>
      <c r="BF2" s="1" t="s">
        <v>337</v>
      </c>
      <c r="BG2" s="1" t="s">
        <v>246</v>
      </c>
      <c r="BH2" s="1" t="s">
        <v>338</v>
      </c>
    </row>
    <row r="3" spans="1:60" x14ac:dyDescent="0.25">
      <c r="A3" s="7" t="s">
        <v>3</v>
      </c>
      <c r="B3" s="7" t="s">
        <v>32</v>
      </c>
      <c r="C3" s="1">
        <f t="shared" ref="C3:C13" si="0">SUM(D3:D3)</f>
        <v>223</v>
      </c>
      <c r="D3" s="8">
        <v>223</v>
      </c>
      <c r="E3" s="94">
        <v>2043.5</v>
      </c>
      <c r="F3" s="71">
        <v>1646.5</v>
      </c>
      <c r="G3" s="96">
        <f t="shared" ref="G3:G14" si="1">E3/C3</f>
        <v>9.1636771300448423</v>
      </c>
      <c r="H3" s="120">
        <f t="shared" ref="H3:H14" si="2">F3/C3</f>
        <v>7.383408071748879</v>
      </c>
      <c r="I3" s="120">
        <f t="shared" ref="I3:I13" si="3">G3/G$15</f>
        <v>0.21513520586820442</v>
      </c>
      <c r="J3" s="97">
        <f>H3/H15</f>
        <v>0.18851584302927257</v>
      </c>
      <c r="K3" s="34">
        <v>10909</v>
      </c>
      <c r="L3" s="34">
        <v>51903</v>
      </c>
      <c r="M3" s="34">
        <f t="shared" ref="M3:M14" si="4">K3/C3</f>
        <v>48.91928251121076</v>
      </c>
      <c r="N3" s="34">
        <f t="shared" ref="N3:N14" si="5">L3/C3</f>
        <v>232.74887892376682</v>
      </c>
      <c r="O3" s="40">
        <f>N3/N15</f>
        <v>2.4195965168803138E-2</v>
      </c>
      <c r="P3" s="40">
        <f t="shared" ref="P3:P13" si="6">M3/M$15</f>
        <v>2.9624409307545461E-3</v>
      </c>
      <c r="Q3" s="48">
        <f t="shared" ref="Q3:Q13" si="7">(0.6*J3)+(0.4*O3)</f>
        <v>0.12278789188508479</v>
      </c>
      <c r="R3" s="48">
        <f t="shared" ref="R3:R13" si="8">(0.6*I3)+(0.4*P3)</f>
        <v>0.13026609989322446</v>
      </c>
      <c r="S3" s="25">
        <v>1.2669999999999999</v>
      </c>
      <c r="T3" s="73">
        <v>1.147</v>
      </c>
      <c r="U3" s="26">
        <f t="shared" ref="U3:U13" si="9">(0.6*AZ3)+(0.4*BG3)</f>
        <v>1.3030877059192811</v>
      </c>
      <c r="V3" s="25">
        <f>(0.6*AZ3)+(0.4*BH3)</f>
        <v>1.3035220815603161</v>
      </c>
      <c r="W3" s="67">
        <f>AB3*AL$3</f>
        <v>771539.22319424397</v>
      </c>
      <c r="X3" s="67" t="e">
        <f>AF3*C3</f>
        <v>#VALUE!</v>
      </c>
      <c r="Y3" s="67">
        <f t="shared" ref="Y3:Z5" si="10">AC3*AM$3</f>
        <v>804902.14973116189</v>
      </c>
      <c r="Z3" s="67">
        <f t="shared" si="10"/>
        <v>804808.26417449617</v>
      </c>
      <c r="AA3" s="70">
        <f>Z3-W3</f>
        <v>33269.040980252204</v>
      </c>
      <c r="AB3" s="67">
        <f>AE3*C3</f>
        <v>86.061833688699352</v>
      </c>
      <c r="AC3" s="67">
        <f>AG3*C3</f>
        <v>88.554046009998189</v>
      </c>
      <c r="AD3" s="67">
        <f>AH3*C3</f>
        <v>88.560046635071487</v>
      </c>
      <c r="AE3" s="127">
        <f>S3/AO$2</f>
        <v>0.38592750533049036</v>
      </c>
      <c r="AF3" s="59" t="e">
        <f>T3/AL2</f>
        <v>#VALUE!</v>
      </c>
      <c r="AG3" s="59">
        <f t="shared" ref="AG3:AH5" si="11">U3/AP$2</f>
        <v>0.39710334533631475</v>
      </c>
      <c r="AH3" s="59">
        <f t="shared" si="11"/>
        <v>0.39713025396893042</v>
      </c>
      <c r="AI3" s="37">
        <v>2244684.0333812442</v>
      </c>
      <c r="AJ3">
        <v>347</v>
      </c>
      <c r="AK3" s="136"/>
      <c r="AL3" s="64">
        <f>AI3/AB14</f>
        <v>8964.9405564031531</v>
      </c>
      <c r="AM3" s="64">
        <f>AI3/AC14</f>
        <v>9089.3887518169922</v>
      </c>
      <c r="AN3" s="64">
        <f>AI3/AD14</f>
        <v>9087.7127412868431</v>
      </c>
      <c r="AR3">
        <v>4087</v>
      </c>
      <c r="AS3">
        <v>4094</v>
      </c>
      <c r="AT3">
        <f t="shared" ref="AT3:AT13" si="12">AR3-AS3</f>
        <v>-7</v>
      </c>
      <c r="AU3">
        <v>1729</v>
      </c>
      <c r="AV3">
        <v>1722</v>
      </c>
      <c r="AW3">
        <f>AR3-AU3</f>
        <v>2358</v>
      </c>
      <c r="AX3">
        <f>AS3-AV3</f>
        <v>2372</v>
      </c>
      <c r="AY3" s="23">
        <v>2.198</v>
      </c>
      <c r="AZ3" s="23">
        <f>(AX3-AX$16)/AX$17</f>
        <v>2.2591661765321351</v>
      </c>
      <c r="BA3" s="34">
        <v>10909</v>
      </c>
      <c r="BB3" s="233">
        <v>10908.529999999999</v>
      </c>
      <c r="BC3" s="119">
        <v>50675.199999999997</v>
      </c>
      <c r="BD3" s="119">
        <v>50543</v>
      </c>
      <c r="BE3" s="119">
        <f>BA3-BC3</f>
        <v>-39766.199999999997</v>
      </c>
      <c r="BF3" s="119">
        <f>BB3-BD3</f>
        <v>-39634.47</v>
      </c>
      <c r="BG3" s="23">
        <v>-0.13103000000000001</v>
      </c>
      <c r="BH3" s="23">
        <f>(BF3-BF$15)/BF$16</f>
        <v>-0.1299440608974122</v>
      </c>
    </row>
    <row r="4" spans="1:60" x14ac:dyDescent="0.25">
      <c r="A4" s="9" t="s">
        <v>3</v>
      </c>
      <c r="B4" s="9" t="s">
        <v>36</v>
      </c>
      <c r="C4" s="1">
        <f t="shared" si="0"/>
        <v>434</v>
      </c>
      <c r="D4" s="8">
        <v>434</v>
      </c>
      <c r="E4" s="94">
        <v>2655.5</v>
      </c>
      <c r="F4" s="71">
        <v>2229.5</v>
      </c>
      <c r="G4" s="96">
        <f t="shared" si="1"/>
        <v>6.1186635944700463</v>
      </c>
      <c r="H4" s="120">
        <f t="shared" si="2"/>
        <v>5.137096774193548</v>
      </c>
      <c r="I4" s="120">
        <f t="shared" si="3"/>
        <v>0.14364757000426526</v>
      </c>
      <c r="J4" s="97">
        <f>H4/H15</f>
        <v>0.13116221123081803</v>
      </c>
      <c r="K4" s="34">
        <v>10264</v>
      </c>
      <c r="L4" s="34">
        <v>10264</v>
      </c>
      <c r="M4" s="34">
        <f t="shared" si="4"/>
        <v>23.649769585253456</v>
      </c>
      <c r="N4" s="34">
        <f t="shared" si="5"/>
        <v>23.649769585253456</v>
      </c>
      <c r="O4" s="40">
        <f>N4/N15</f>
        <v>2.4585682379266666E-3</v>
      </c>
      <c r="P4" s="40">
        <f t="shared" si="6"/>
        <v>1.432176471644142E-3</v>
      </c>
      <c r="Q4" s="48">
        <f t="shared" si="7"/>
        <v>7.9680754033661483E-2</v>
      </c>
      <c r="R4" s="48">
        <f t="shared" si="8"/>
        <v>8.6761412591216808E-2</v>
      </c>
      <c r="S4" s="25">
        <v>1.052</v>
      </c>
      <c r="T4">
        <v>0.189</v>
      </c>
      <c r="U4" s="26">
        <f t="shared" si="9"/>
        <v>1.0047502238290769</v>
      </c>
      <c r="V4" s="25">
        <f t="shared" ref="V4:V13" si="13">(0.6*AZ4)+(0.4*BH4)</f>
        <v>1.0054118620566259</v>
      </c>
      <c r="W4" s="67">
        <f>AB4*AL$3</f>
        <v>1246757.5327310006</v>
      </c>
      <c r="X4" s="37"/>
      <c r="Y4" s="67">
        <f t="shared" si="10"/>
        <v>1207848.3711232648</v>
      </c>
      <c r="Z4" s="67">
        <f t="shared" si="10"/>
        <v>1208100.0605390852</v>
      </c>
      <c r="AA4" s="70">
        <f>Z4-W4</f>
        <v>-38657.472191915382</v>
      </c>
      <c r="AB4" s="67">
        <f>AE4*C4</f>
        <v>139.07036247334756</v>
      </c>
      <c r="AC4" s="67">
        <f>AG4*C4</f>
        <v>132.88554424320478</v>
      </c>
      <c r="AD4" s="67">
        <f>AH4*C4</f>
        <v>132.93774736634282</v>
      </c>
      <c r="AE4" s="127">
        <f>S4/AO$2</f>
        <v>0.32043862321047822</v>
      </c>
      <c r="AF4" s="59"/>
      <c r="AG4" s="59">
        <f t="shared" si="11"/>
        <v>0.30618788996130131</v>
      </c>
      <c r="AH4" s="59">
        <f t="shared" si="11"/>
        <v>0.30630817365516777</v>
      </c>
      <c r="AJ4" s="52">
        <f>AJ3/C14</f>
        <v>0.26407914764079149</v>
      </c>
      <c r="AK4" s="39" t="s">
        <v>166</v>
      </c>
      <c r="AR4">
        <v>5311</v>
      </c>
      <c r="AS4">
        <v>5194</v>
      </c>
      <c r="AT4">
        <f t="shared" si="12"/>
        <v>117</v>
      </c>
      <c r="AU4">
        <v>3365</v>
      </c>
      <c r="AV4">
        <v>3351</v>
      </c>
      <c r="AW4">
        <f t="shared" ref="AW4:AW13" si="14">AR4-AU4</f>
        <v>1946</v>
      </c>
      <c r="AX4">
        <f t="shared" ref="AX4:AX13" si="15">AS4-AV4</f>
        <v>1843</v>
      </c>
      <c r="AY4" s="23">
        <v>1.744</v>
      </c>
      <c r="AZ4" s="23">
        <f>(AX4-AX$16)/AX$17</f>
        <v>1.6657437063817948</v>
      </c>
      <c r="BA4" s="34">
        <v>10264</v>
      </c>
      <c r="BB4" s="233">
        <v>10264.41</v>
      </c>
      <c r="BC4" s="119">
        <v>25872.75</v>
      </c>
      <c r="BD4" s="119">
        <v>25670</v>
      </c>
      <c r="BE4" s="119">
        <f t="shared" ref="BE4:BE13" si="16">BA4-BC4</f>
        <v>-15608.75</v>
      </c>
      <c r="BF4" s="119">
        <f t="shared" ref="BF4:BF13" si="17">BB4-BD4</f>
        <v>-15405.59</v>
      </c>
      <c r="BG4" s="23">
        <v>1.3259999999999999E-2</v>
      </c>
      <c r="BH4" s="23">
        <f t="shared" ref="BH4:BH13" si="18">(BF4-BF$15)/BF$16</f>
        <v>1.4914095568872477E-2</v>
      </c>
    </row>
    <row r="5" spans="1:60" x14ac:dyDescent="0.25">
      <c r="A5" s="7" t="s">
        <v>3</v>
      </c>
      <c r="B5" s="7" t="s">
        <v>41</v>
      </c>
      <c r="C5" s="1">
        <f t="shared" si="0"/>
        <v>86</v>
      </c>
      <c r="D5" s="8">
        <v>86</v>
      </c>
      <c r="E5" s="94">
        <v>500.5</v>
      </c>
      <c r="F5" s="71">
        <v>519.5</v>
      </c>
      <c r="G5" s="96">
        <f t="shared" si="1"/>
        <v>5.8197674418604652</v>
      </c>
      <c r="H5" s="120">
        <f t="shared" si="2"/>
        <v>6.0406976744186043</v>
      </c>
      <c r="I5" s="120">
        <f t="shared" si="3"/>
        <v>0.13663039945009475</v>
      </c>
      <c r="J5" s="97">
        <f>H5/H15</f>
        <v>0.15423327594952424</v>
      </c>
      <c r="K5" s="34">
        <v>513058</v>
      </c>
      <c r="L5" s="34">
        <v>111160</v>
      </c>
      <c r="M5" s="34">
        <f t="shared" si="4"/>
        <v>5965.7906976744189</v>
      </c>
      <c r="N5" s="77">
        <f t="shared" si="5"/>
        <v>1292.5581395348838</v>
      </c>
      <c r="O5" s="40">
        <f>N5/N15</f>
        <v>0.13437096611357927</v>
      </c>
      <c r="P5" s="40">
        <f t="shared" si="6"/>
        <v>0.36127477019016491</v>
      </c>
      <c r="Q5" s="48">
        <f t="shared" si="7"/>
        <v>0.14628835201514626</v>
      </c>
      <c r="R5" s="48">
        <f t="shared" si="8"/>
        <v>0.22648814774612283</v>
      </c>
      <c r="S5" s="25">
        <v>0.96399999999999997</v>
      </c>
      <c r="T5" s="73">
        <v>0.60299999999999998</v>
      </c>
      <c r="U5" s="26">
        <f t="shared" si="9"/>
        <v>0.97364463952002789</v>
      </c>
      <c r="V5" s="25">
        <f t="shared" si="13"/>
        <v>0.97342006626490785</v>
      </c>
      <c r="W5" s="67">
        <f>AB5*AL$3</f>
        <v>226387.27745599966</v>
      </c>
      <c r="X5" s="67" t="e">
        <f>AF5*C5</f>
        <v>#VALUE!</v>
      </c>
      <c r="Y5" s="67">
        <f t="shared" si="10"/>
        <v>231933.51252681727</v>
      </c>
      <c r="Z5" s="67">
        <f t="shared" si="10"/>
        <v>231775.70866766275</v>
      </c>
      <c r="AA5" s="70">
        <f>Z5-W5</f>
        <v>5388.4312116630899</v>
      </c>
      <c r="AB5" s="67">
        <f>AE5*C5</f>
        <v>25.252512945476695</v>
      </c>
      <c r="AC5" s="67">
        <f>AG5*C5</f>
        <v>25.516953764405024</v>
      </c>
      <c r="AD5" s="67">
        <f>AH5*C5</f>
        <v>25.50429522432756</v>
      </c>
      <c r="AE5" s="127">
        <f>S5/AO$2</f>
        <v>0.29363387145903136</v>
      </c>
      <c r="AF5" s="59" t="e">
        <f>T5/AL2</f>
        <v>#VALUE!</v>
      </c>
      <c r="AG5" s="59">
        <f t="shared" si="11"/>
        <v>0.296708764702384</v>
      </c>
      <c r="AH5" s="59">
        <f t="shared" si="11"/>
        <v>0.29656157237590186</v>
      </c>
      <c r="AR5">
        <v>1001</v>
      </c>
      <c r="AS5">
        <v>1005</v>
      </c>
      <c r="AT5">
        <f t="shared" si="12"/>
        <v>-4</v>
      </c>
      <c r="AU5">
        <v>667</v>
      </c>
      <c r="AV5">
        <v>664</v>
      </c>
      <c r="AW5">
        <f t="shared" si="14"/>
        <v>334</v>
      </c>
      <c r="AX5">
        <f t="shared" si="15"/>
        <v>341</v>
      </c>
      <c r="AY5" s="23">
        <v>-3.5000000000000003E-2</v>
      </c>
      <c r="AZ5" s="23">
        <f>(AX5-AX$16)/AX$17</f>
        <v>-1.9172267466620357E-2</v>
      </c>
      <c r="BA5" s="34">
        <v>513058</v>
      </c>
      <c r="BB5" s="233">
        <v>513058</v>
      </c>
      <c r="BC5" s="119">
        <v>118530.66</v>
      </c>
      <c r="BD5" s="119">
        <v>119114</v>
      </c>
      <c r="BE5" s="119">
        <f t="shared" si="16"/>
        <v>394527.33999999997</v>
      </c>
      <c r="BF5" s="119">
        <f t="shared" si="17"/>
        <v>393944</v>
      </c>
      <c r="BG5" s="23">
        <v>2.4628700000000001</v>
      </c>
      <c r="BH5" s="23">
        <f t="shared" si="18"/>
        <v>2.4623085668622</v>
      </c>
    </row>
    <row r="6" spans="1:60" x14ac:dyDescent="0.25">
      <c r="A6" s="9" t="s">
        <v>80</v>
      </c>
      <c r="B6" s="9" t="s">
        <v>81</v>
      </c>
      <c r="C6" s="10">
        <f t="shared" si="0"/>
        <v>48</v>
      </c>
      <c r="D6">
        <v>48</v>
      </c>
      <c r="E6" s="94">
        <v>127</v>
      </c>
      <c r="F6" s="71">
        <v>135</v>
      </c>
      <c r="G6" s="96">
        <f t="shared" si="1"/>
        <v>2.6458333333333335</v>
      </c>
      <c r="H6" s="120">
        <f t="shared" si="2"/>
        <v>2.8125</v>
      </c>
      <c r="I6" s="120">
        <f t="shared" si="3"/>
        <v>6.2116101514899054E-2</v>
      </c>
      <c r="J6" s="97">
        <f>H6/H15</f>
        <v>7.1809766352822282E-2</v>
      </c>
      <c r="K6" s="34">
        <v>0</v>
      </c>
      <c r="L6" s="34">
        <v>0</v>
      </c>
      <c r="M6" s="34">
        <f t="shared" si="4"/>
        <v>0</v>
      </c>
      <c r="N6" s="77">
        <f t="shared" si="5"/>
        <v>0</v>
      </c>
      <c r="O6" s="40">
        <f>N6/N15</f>
        <v>0</v>
      </c>
      <c r="P6" s="40">
        <f t="shared" si="6"/>
        <v>0</v>
      </c>
      <c r="Q6" s="48">
        <f t="shared" si="7"/>
        <v>4.3085859811693369E-2</v>
      </c>
      <c r="R6" s="48">
        <f t="shared" si="8"/>
        <v>3.7269660908939434E-2</v>
      </c>
      <c r="S6" s="26">
        <v>-0.64300000000000002</v>
      </c>
      <c r="T6">
        <v>-0.36699999999999999</v>
      </c>
      <c r="U6" s="26">
        <f t="shared" si="9"/>
        <v>-0.64186894610816436</v>
      </c>
      <c r="V6" s="26">
        <f t="shared" si="13"/>
        <v>-0.64550952641041559</v>
      </c>
      <c r="W6" s="75"/>
      <c r="X6" s="37"/>
      <c r="Y6" s="69"/>
      <c r="Z6" s="69"/>
      <c r="AA6" s="69"/>
      <c r="AB6" s="37"/>
      <c r="AC6" s="37"/>
      <c r="AD6" s="37"/>
      <c r="AE6" s="127"/>
      <c r="AF6" s="59"/>
      <c r="AG6" s="59"/>
      <c r="AH6" s="59"/>
      <c r="AR6">
        <v>254</v>
      </c>
      <c r="AS6">
        <v>254</v>
      </c>
      <c r="AT6">
        <f t="shared" si="12"/>
        <v>0</v>
      </c>
      <c r="AU6">
        <v>372</v>
      </c>
      <c r="AV6">
        <v>371</v>
      </c>
      <c r="AW6">
        <f t="shared" si="14"/>
        <v>-118</v>
      </c>
      <c r="AX6">
        <f t="shared" si="15"/>
        <v>-117</v>
      </c>
      <c r="AY6" s="23">
        <v>-0.53400000000000003</v>
      </c>
      <c r="AZ6" s="23">
        <f>(AX6-AX$16)/AX$17</f>
        <v>-0.53294824351360714</v>
      </c>
      <c r="BA6" s="34">
        <v>0</v>
      </c>
      <c r="BB6" s="233">
        <v>0</v>
      </c>
      <c r="BC6" s="119">
        <v>152650.23000000001</v>
      </c>
      <c r="BD6" s="119">
        <v>154108</v>
      </c>
      <c r="BE6" s="119">
        <f t="shared" si="16"/>
        <v>-152650.23000000001</v>
      </c>
      <c r="BF6" s="119">
        <f t="shared" si="17"/>
        <v>-154108</v>
      </c>
      <c r="BG6" s="23">
        <v>-0.80525000000000002</v>
      </c>
      <c r="BH6" s="23">
        <f t="shared" si="18"/>
        <v>-0.8143514507556282</v>
      </c>
    </row>
    <row r="7" spans="1:60" x14ac:dyDescent="0.25">
      <c r="A7" s="7" t="s">
        <v>99</v>
      </c>
      <c r="B7" s="7" t="s">
        <v>102</v>
      </c>
      <c r="C7" s="10">
        <f t="shared" si="0"/>
        <v>293</v>
      </c>
      <c r="D7" s="8">
        <v>293</v>
      </c>
      <c r="E7" s="94">
        <v>1239</v>
      </c>
      <c r="F7" s="71">
        <v>1080</v>
      </c>
      <c r="G7" s="96">
        <f t="shared" si="1"/>
        <v>4.2286689419795218</v>
      </c>
      <c r="H7" s="120">
        <f t="shared" si="2"/>
        <v>3.6860068259385668</v>
      </c>
      <c r="I7" s="120">
        <f t="shared" si="3"/>
        <v>9.9276256733064838E-2</v>
      </c>
      <c r="J7" s="97">
        <f>H7/H15</f>
        <v>9.4112458291753437E-2</v>
      </c>
      <c r="K7" s="34">
        <v>56571</v>
      </c>
      <c r="L7" s="34">
        <v>46292</v>
      </c>
      <c r="M7" s="34">
        <f t="shared" si="4"/>
        <v>193.07508532423208</v>
      </c>
      <c r="N7" s="77">
        <f t="shared" si="5"/>
        <v>157.99317406143345</v>
      </c>
      <c r="O7" s="40">
        <f>N7/N15</f>
        <v>1.6424557463716898E-2</v>
      </c>
      <c r="P7" s="40">
        <f t="shared" si="6"/>
        <v>1.169218978921764E-2</v>
      </c>
      <c r="Q7" s="48">
        <f t="shared" si="7"/>
        <v>6.3037297960538821E-2</v>
      </c>
      <c r="R7" s="48">
        <f t="shared" si="8"/>
        <v>6.4242629955525959E-2</v>
      </c>
      <c r="S7" s="26">
        <v>-0.02</v>
      </c>
      <c r="T7">
        <v>-0.30299999999999999</v>
      </c>
      <c r="U7" s="26">
        <f t="shared" si="9"/>
        <v>-3.0209049939294838E-2</v>
      </c>
      <c r="V7" s="26">
        <f t="shared" si="13"/>
        <v>-2.9512527853035958E-2</v>
      </c>
      <c r="W7" s="75"/>
      <c r="X7" s="37"/>
      <c r="Y7" s="69"/>
      <c r="Z7" s="69"/>
      <c r="AA7" s="69"/>
      <c r="AB7" s="37"/>
      <c r="AC7" s="37"/>
      <c r="AD7" s="37"/>
      <c r="AE7" s="127"/>
      <c r="AF7" s="59"/>
      <c r="AG7" s="59"/>
      <c r="AH7" s="59"/>
      <c r="AI7" s="37"/>
      <c r="AR7">
        <v>2478</v>
      </c>
      <c r="AS7">
        <v>2448</v>
      </c>
      <c r="AT7">
        <f t="shared" si="12"/>
        <v>30</v>
      </c>
      <c r="AU7">
        <v>2272</v>
      </c>
      <c r="AV7">
        <v>2262</v>
      </c>
      <c r="AW7">
        <f t="shared" si="14"/>
        <v>206</v>
      </c>
      <c r="AX7">
        <f t="shared" si="15"/>
        <v>186</v>
      </c>
      <c r="AY7" s="23">
        <v>-0.17599999999999999</v>
      </c>
      <c r="AZ7" s="23">
        <f>(AX7-AX$16)/AX$17</f>
        <v>-0.1930484165654914</v>
      </c>
      <c r="BA7" s="34">
        <v>56571</v>
      </c>
      <c r="BB7" s="233">
        <v>56571</v>
      </c>
      <c r="BC7" s="119">
        <v>38560.949999999997</v>
      </c>
      <c r="BD7" s="119">
        <v>38378</v>
      </c>
      <c r="BE7" s="119">
        <f t="shared" si="16"/>
        <v>18010.050000000003</v>
      </c>
      <c r="BF7" s="119">
        <f t="shared" si="17"/>
        <v>18193</v>
      </c>
      <c r="BG7" s="23">
        <v>0.21404999999999999</v>
      </c>
      <c r="BH7" s="23">
        <f t="shared" si="18"/>
        <v>0.21579130521564718</v>
      </c>
    </row>
    <row r="8" spans="1:60" x14ac:dyDescent="0.25">
      <c r="A8" s="9" t="s">
        <v>106</v>
      </c>
      <c r="B8" s="9" t="s">
        <v>109</v>
      </c>
      <c r="C8" s="10">
        <f t="shared" si="0"/>
        <v>38</v>
      </c>
      <c r="D8" s="8">
        <v>38</v>
      </c>
      <c r="E8" s="94">
        <v>178.5</v>
      </c>
      <c r="F8" s="71">
        <v>225</v>
      </c>
      <c r="G8" s="96">
        <f t="shared" si="1"/>
        <v>4.6973684210526319</v>
      </c>
      <c r="H8" s="120">
        <f t="shared" si="2"/>
        <v>5.9210526315789478</v>
      </c>
      <c r="I8" s="120">
        <f t="shared" si="3"/>
        <v>0.11027989179023105</v>
      </c>
      <c r="J8" s="97">
        <f>H8/H15</f>
        <v>0.15117845547962586</v>
      </c>
      <c r="K8" s="34">
        <v>329494</v>
      </c>
      <c r="L8" s="34">
        <v>257811</v>
      </c>
      <c r="M8" s="34">
        <f t="shared" si="4"/>
        <v>8670.894736842105</v>
      </c>
      <c r="N8" s="77">
        <f t="shared" si="5"/>
        <v>6784.5</v>
      </c>
      <c r="O8" s="40">
        <f>N8/N15</f>
        <v>0.70529888885742842</v>
      </c>
      <c r="P8" s="40">
        <f t="shared" si="6"/>
        <v>0.52508974285954757</v>
      </c>
      <c r="Q8" s="48">
        <f t="shared" si="7"/>
        <v>0.37282662883074685</v>
      </c>
      <c r="R8" s="48">
        <f t="shared" si="8"/>
        <v>0.27620383221795763</v>
      </c>
      <c r="S8" s="26">
        <v>0.27</v>
      </c>
      <c r="T8" s="73">
        <v>0.753</v>
      </c>
      <c r="U8" s="26">
        <f t="shared" si="9"/>
        <v>0.28171443295705256</v>
      </c>
      <c r="V8" s="26">
        <f t="shared" si="13"/>
        <v>0.27826478582989411</v>
      </c>
      <c r="W8" s="135"/>
      <c r="X8" s="67" t="e">
        <f>AF8*C8</f>
        <v>#VALUE!</v>
      </c>
      <c r="Y8" s="70"/>
      <c r="Z8" s="70"/>
      <c r="AA8" s="70"/>
      <c r="AB8" s="70"/>
      <c r="AC8" s="70"/>
      <c r="AD8" s="70"/>
      <c r="AE8" s="127"/>
      <c r="AF8" s="59" t="e">
        <f>T8/AL2</f>
        <v>#VALUE!</v>
      </c>
      <c r="AG8" s="59"/>
      <c r="AH8" s="59"/>
      <c r="AR8">
        <v>357</v>
      </c>
      <c r="AS8">
        <v>370</v>
      </c>
      <c r="AT8">
        <f t="shared" si="12"/>
        <v>-13</v>
      </c>
      <c r="AU8">
        <v>295</v>
      </c>
      <c r="AV8">
        <v>293</v>
      </c>
      <c r="AW8">
        <f t="shared" si="14"/>
        <v>62</v>
      </c>
      <c r="AX8">
        <f t="shared" si="15"/>
        <v>77</v>
      </c>
      <c r="AY8" s="23">
        <v>-0.33500000000000002</v>
      </c>
      <c r="AZ8" s="23">
        <f>(AX8-AX$16)/AX$17</f>
        <v>-0.31532261173824588</v>
      </c>
      <c r="BA8" s="34">
        <v>329494</v>
      </c>
      <c r="BB8" s="233">
        <v>329493.82999999996</v>
      </c>
      <c r="BC8" s="119">
        <v>150212.88</v>
      </c>
      <c r="BD8" s="119">
        <v>151927</v>
      </c>
      <c r="BE8" s="119">
        <f t="shared" si="16"/>
        <v>179281.12</v>
      </c>
      <c r="BF8" s="119">
        <f t="shared" si="17"/>
        <v>177566.82999999996</v>
      </c>
      <c r="BG8" s="23">
        <v>1.17727</v>
      </c>
      <c r="BH8" s="23">
        <f t="shared" si="18"/>
        <v>1.168645882182104</v>
      </c>
    </row>
    <row r="9" spans="1:60" x14ac:dyDescent="0.25">
      <c r="A9" s="7" t="s">
        <v>114</v>
      </c>
      <c r="B9" s="7" t="s">
        <v>115</v>
      </c>
      <c r="C9" s="10">
        <f t="shared" si="0"/>
        <v>18</v>
      </c>
      <c r="D9">
        <v>18</v>
      </c>
      <c r="E9" s="94">
        <v>46.5</v>
      </c>
      <c r="F9" s="71">
        <v>31</v>
      </c>
      <c r="G9" s="96">
        <f t="shared" si="1"/>
        <v>2.5833333333333335</v>
      </c>
      <c r="H9" s="120">
        <f t="shared" si="2"/>
        <v>1.7222222222222223</v>
      </c>
      <c r="I9" s="120">
        <f t="shared" si="3"/>
        <v>6.0648792030295134E-2</v>
      </c>
      <c r="J9" s="97">
        <f>H9/H15</f>
        <v>4.3972400137036856E-2</v>
      </c>
      <c r="K9" s="34">
        <v>0</v>
      </c>
      <c r="L9" s="34">
        <v>0</v>
      </c>
      <c r="M9" s="34">
        <f t="shared" si="4"/>
        <v>0</v>
      </c>
      <c r="N9" s="77">
        <f t="shared" si="5"/>
        <v>0</v>
      </c>
      <c r="O9" s="40">
        <f>N9/N15</f>
        <v>0</v>
      </c>
      <c r="P9" s="40">
        <f t="shared" si="6"/>
        <v>0</v>
      </c>
      <c r="Q9" s="40">
        <f t="shared" si="7"/>
        <v>2.6383440082222112E-2</v>
      </c>
      <c r="R9" s="48">
        <f t="shared" si="8"/>
        <v>3.6389275218177079E-2</v>
      </c>
      <c r="S9" s="26">
        <v>-0.443</v>
      </c>
      <c r="T9">
        <v>-0.32800000000000001</v>
      </c>
      <c r="U9" s="26">
        <f t="shared" si="9"/>
        <v>-0.4463074634316741</v>
      </c>
      <c r="V9" s="26">
        <f t="shared" si="13"/>
        <v>-0.45001246642527287</v>
      </c>
      <c r="X9" s="37"/>
      <c r="Y9" s="37"/>
      <c r="Z9" s="37"/>
      <c r="AA9" s="37"/>
      <c r="AB9" s="37"/>
      <c r="AC9" s="37"/>
      <c r="AD9" s="37"/>
      <c r="AE9" s="69"/>
      <c r="AF9" s="59"/>
      <c r="AG9" s="59"/>
      <c r="AH9" s="59"/>
      <c r="AR9">
        <v>93</v>
      </c>
      <c r="AS9">
        <v>87</v>
      </c>
      <c r="AT9">
        <f t="shared" si="12"/>
        <v>6</v>
      </c>
      <c r="AU9">
        <v>140</v>
      </c>
      <c r="AV9">
        <v>139</v>
      </c>
      <c r="AW9">
        <f t="shared" si="14"/>
        <v>-47</v>
      </c>
      <c r="AX9">
        <f t="shared" si="15"/>
        <v>-52</v>
      </c>
      <c r="AY9" s="23">
        <v>-0.45500000000000002</v>
      </c>
      <c r="AZ9" s="23">
        <f>(AX9-AX$16)/AX$17</f>
        <v>-0.46003243905279018</v>
      </c>
      <c r="BA9" s="34">
        <v>0</v>
      </c>
      <c r="BB9" s="233">
        <v>0</v>
      </c>
      <c r="BC9" s="119">
        <v>89105.64</v>
      </c>
      <c r="BD9" s="119">
        <v>90655</v>
      </c>
      <c r="BE9" s="119">
        <f t="shared" si="16"/>
        <v>-89105.64</v>
      </c>
      <c r="BF9" s="119">
        <f t="shared" si="17"/>
        <v>-90655</v>
      </c>
      <c r="BG9" s="23">
        <v>-0.42571999999999999</v>
      </c>
      <c r="BH9" s="23">
        <f t="shared" si="18"/>
        <v>-0.43498250748399692</v>
      </c>
    </row>
    <row r="10" spans="1:60" x14ac:dyDescent="0.25">
      <c r="A10" s="7" t="s">
        <v>118</v>
      </c>
      <c r="B10" s="7" t="s">
        <v>122</v>
      </c>
      <c r="C10" s="10">
        <f t="shared" si="0"/>
        <v>77</v>
      </c>
      <c r="D10" s="8">
        <v>77</v>
      </c>
      <c r="E10" s="94">
        <v>128.5</v>
      </c>
      <c r="F10" s="71">
        <v>77.5</v>
      </c>
      <c r="G10" s="96">
        <f t="shared" si="1"/>
        <v>1.6688311688311688</v>
      </c>
      <c r="H10" s="120">
        <f t="shared" si="2"/>
        <v>1.0064935064935066</v>
      </c>
      <c r="I10" s="120">
        <f t="shared" si="3"/>
        <v>3.917906883565777E-2</v>
      </c>
      <c r="J10" s="97">
        <f>H10/H15</f>
        <v>2.5698155924242318E-2</v>
      </c>
      <c r="K10" s="34">
        <v>12500</v>
      </c>
      <c r="L10" s="34">
        <v>12500</v>
      </c>
      <c r="M10" s="34">
        <f t="shared" si="4"/>
        <v>162.33766233766235</v>
      </c>
      <c r="N10" s="77">
        <f t="shared" si="5"/>
        <v>162.33766233766235</v>
      </c>
      <c r="O10" s="40">
        <f>N10/N15</f>
        <v>1.6876199110688432E-2</v>
      </c>
      <c r="P10" s="40">
        <f t="shared" si="6"/>
        <v>9.8308010834355745E-3</v>
      </c>
      <c r="Q10" s="40">
        <f t="shared" si="7"/>
        <v>2.2169373198820765E-2</v>
      </c>
      <c r="R10" s="48">
        <f t="shared" si="8"/>
        <v>2.7439761734768892E-2</v>
      </c>
      <c r="S10" s="26">
        <v>-0.7</v>
      </c>
      <c r="T10">
        <v>-0.64300000000000002</v>
      </c>
      <c r="U10" s="26">
        <f t="shared" si="9"/>
        <v>-0.70076118720823066</v>
      </c>
      <c r="V10" s="26">
        <f t="shared" si="13"/>
        <v>-0.7025917369328788</v>
      </c>
      <c r="X10" s="37"/>
      <c r="Y10" s="37"/>
      <c r="Z10" s="37"/>
      <c r="AA10" s="37"/>
      <c r="AB10" s="37"/>
      <c r="AC10" s="37"/>
      <c r="AD10" s="37"/>
      <c r="AE10" s="69"/>
      <c r="AF10" s="59"/>
      <c r="AG10" s="59"/>
      <c r="AH10" s="59"/>
      <c r="AR10">
        <v>257</v>
      </c>
      <c r="AS10">
        <v>257</v>
      </c>
      <c r="AT10">
        <f t="shared" si="12"/>
        <v>0</v>
      </c>
      <c r="AU10">
        <v>597</v>
      </c>
      <c r="AV10">
        <v>595</v>
      </c>
      <c r="AW10">
        <f t="shared" si="14"/>
        <v>-340</v>
      </c>
      <c r="AX10">
        <f t="shared" si="15"/>
        <v>-338</v>
      </c>
      <c r="AY10" s="23">
        <v>-0.77900000000000003</v>
      </c>
      <c r="AZ10" s="23">
        <f>(AX10-AX$16)/AX$17</f>
        <v>-0.78086197868038443</v>
      </c>
      <c r="BA10" s="34">
        <v>12500</v>
      </c>
      <c r="BB10" s="233">
        <v>12500</v>
      </c>
      <c r="BC10" s="119">
        <v>127538.48</v>
      </c>
      <c r="BD10" s="119">
        <v>128278</v>
      </c>
      <c r="BE10" s="119">
        <f t="shared" si="16"/>
        <v>-115038.48</v>
      </c>
      <c r="BF10" s="119">
        <f t="shared" si="17"/>
        <v>-115778</v>
      </c>
      <c r="BG10" s="23">
        <v>-0.58060999999999996</v>
      </c>
      <c r="BH10" s="23">
        <f t="shared" si="18"/>
        <v>-0.58518637431162035</v>
      </c>
    </row>
    <row r="11" spans="1:60" x14ac:dyDescent="0.25">
      <c r="A11" s="9" t="s">
        <v>129</v>
      </c>
      <c r="B11" s="9" t="s">
        <v>131</v>
      </c>
      <c r="C11" s="10">
        <f t="shared" si="0"/>
        <v>30</v>
      </c>
      <c r="D11">
        <v>30</v>
      </c>
      <c r="E11" s="94">
        <v>59</v>
      </c>
      <c r="F11" s="71">
        <v>71.5</v>
      </c>
      <c r="G11" s="96">
        <f t="shared" si="1"/>
        <v>1.9666666666666666</v>
      </c>
      <c r="H11" s="120">
        <f t="shared" si="2"/>
        <v>2.3833333333333333</v>
      </c>
      <c r="I11" s="120">
        <f t="shared" si="3"/>
        <v>4.6171338448869843E-2</v>
      </c>
      <c r="J11" s="97">
        <f>H11/H15</f>
        <v>6.0852127931576808E-2</v>
      </c>
      <c r="K11" s="34">
        <v>0</v>
      </c>
      <c r="L11" s="34">
        <v>0</v>
      </c>
      <c r="M11" s="34">
        <f t="shared" si="4"/>
        <v>0</v>
      </c>
      <c r="N11" s="77">
        <f t="shared" si="5"/>
        <v>0</v>
      </c>
      <c r="O11" s="40">
        <f>N11/N15</f>
        <v>0</v>
      </c>
      <c r="P11" s="40">
        <f t="shared" si="6"/>
        <v>0</v>
      </c>
      <c r="Q11" s="40">
        <f t="shared" si="7"/>
        <v>3.6511276758946082E-2</v>
      </c>
      <c r="R11" s="48">
        <f t="shared" si="8"/>
        <v>2.7702803069321904E-2</v>
      </c>
      <c r="S11" s="26">
        <v>-0.60199999999999998</v>
      </c>
      <c r="T11">
        <v>-0.34599999999999997</v>
      </c>
      <c r="U11" s="26">
        <f t="shared" si="9"/>
        <v>-0.60155373921540312</v>
      </c>
      <c r="V11" s="26">
        <f t="shared" si="13"/>
        <v>-0.60601797323222617</v>
      </c>
      <c r="X11" s="37"/>
      <c r="Y11" s="37"/>
      <c r="Z11" s="37"/>
      <c r="AA11" s="37"/>
      <c r="AB11" s="37"/>
      <c r="AC11" s="37"/>
      <c r="AD11" s="37"/>
      <c r="AE11" s="69"/>
      <c r="AF11" s="59"/>
      <c r="AG11" s="59"/>
      <c r="AH11" s="59"/>
      <c r="AR11">
        <v>118</v>
      </c>
      <c r="AS11">
        <v>118</v>
      </c>
      <c r="AT11">
        <f t="shared" si="12"/>
        <v>0</v>
      </c>
      <c r="AU11">
        <v>233</v>
      </c>
      <c r="AV11">
        <v>232</v>
      </c>
      <c r="AW11">
        <f t="shared" si="14"/>
        <v>-115</v>
      </c>
      <c r="AX11">
        <f t="shared" si="15"/>
        <v>-114</v>
      </c>
      <c r="AY11" s="23">
        <v>-0.53</v>
      </c>
      <c r="AZ11" s="23">
        <f>(AX11-AX$16)/AX$17</f>
        <v>-0.52958289869233865</v>
      </c>
      <c r="BA11" s="34">
        <v>0</v>
      </c>
      <c r="BB11" s="233">
        <v>0</v>
      </c>
      <c r="BC11" s="119">
        <v>136621.60999999999</v>
      </c>
      <c r="BD11" s="119">
        <v>138439</v>
      </c>
      <c r="BE11" s="119">
        <f t="shared" si="16"/>
        <v>-136621.60999999999</v>
      </c>
      <c r="BF11" s="119">
        <f t="shared" si="17"/>
        <v>-138439</v>
      </c>
      <c r="BG11" s="23">
        <v>-0.70950999999999997</v>
      </c>
      <c r="BH11" s="23">
        <f t="shared" si="18"/>
        <v>-0.72067058504205761</v>
      </c>
    </row>
    <row r="12" spans="1:60" x14ac:dyDescent="0.25">
      <c r="A12" s="9" t="s">
        <v>135</v>
      </c>
      <c r="B12" s="9" t="s">
        <v>138</v>
      </c>
      <c r="C12" s="10">
        <f t="shared" si="0"/>
        <v>26</v>
      </c>
      <c r="D12" s="8">
        <v>26</v>
      </c>
      <c r="E12" s="94">
        <v>39.5</v>
      </c>
      <c r="F12" s="71">
        <v>26</v>
      </c>
      <c r="G12" s="96">
        <f t="shared" si="1"/>
        <v>1.5192307692307692</v>
      </c>
      <c r="H12" s="120">
        <f t="shared" si="2"/>
        <v>1</v>
      </c>
      <c r="I12" s="120">
        <f t="shared" si="3"/>
        <v>3.5666907471910536E-2</v>
      </c>
      <c r="J12" s="97">
        <f>H12/H15</f>
        <v>2.5532361369892367E-2</v>
      </c>
      <c r="K12" s="34">
        <v>37661</v>
      </c>
      <c r="L12" s="34">
        <v>25104</v>
      </c>
      <c r="M12" s="34">
        <f t="shared" si="4"/>
        <v>1448.5</v>
      </c>
      <c r="N12" s="77">
        <f t="shared" si="5"/>
        <v>965.53846153846155</v>
      </c>
      <c r="O12" s="40">
        <f>N12/N15</f>
        <v>0.1003748550478573</v>
      </c>
      <c r="P12" s="40">
        <f t="shared" si="6"/>
        <v>8.7717878675235603E-2</v>
      </c>
      <c r="Q12" s="40">
        <f t="shared" si="7"/>
        <v>5.5469358841078342E-2</v>
      </c>
      <c r="R12" s="48">
        <f t="shared" si="8"/>
        <v>5.6487295953240563E-2</v>
      </c>
      <c r="S12" s="26">
        <v>-0.48799999999999999</v>
      </c>
      <c r="T12">
        <v>-0.29899999999999999</v>
      </c>
      <c r="U12" s="26">
        <f t="shared" si="9"/>
        <v>-0.48734522196517904</v>
      </c>
      <c r="V12" s="26">
        <f t="shared" si="13"/>
        <v>-0.46772757848608881</v>
      </c>
      <c r="X12" s="37"/>
      <c r="Y12" s="37"/>
      <c r="Z12" s="37"/>
      <c r="AA12" s="37"/>
      <c r="AB12" s="37"/>
      <c r="AC12" s="37"/>
      <c r="AD12" s="37"/>
      <c r="AE12" s="69"/>
      <c r="AF12" s="59"/>
      <c r="AG12" s="59"/>
      <c r="AH12" s="59"/>
      <c r="AR12">
        <v>79</v>
      </c>
      <c r="AS12">
        <v>80</v>
      </c>
      <c r="AT12">
        <f t="shared" si="12"/>
        <v>-1</v>
      </c>
      <c r="AU12">
        <v>202</v>
      </c>
      <c r="AV12">
        <v>201</v>
      </c>
      <c r="AW12">
        <f t="shared" si="14"/>
        <v>-123</v>
      </c>
      <c r="AX12">
        <f t="shared" si="15"/>
        <v>-121</v>
      </c>
      <c r="AY12" s="23">
        <v>-0.53900000000000003</v>
      </c>
      <c r="AZ12" s="23">
        <f>(AX12-AX$16)/AX$17</f>
        <v>-0.53743536994196506</v>
      </c>
      <c r="BA12" s="34">
        <v>37661</v>
      </c>
      <c r="BB12" s="233">
        <v>47661</v>
      </c>
      <c r="BC12" s="119">
        <v>124506.06</v>
      </c>
      <c r="BD12" s="119">
        <v>126304</v>
      </c>
      <c r="BE12" s="119">
        <f t="shared" si="16"/>
        <v>-86845.06</v>
      </c>
      <c r="BF12" s="119">
        <f t="shared" si="17"/>
        <v>-78643</v>
      </c>
      <c r="BG12" s="23">
        <v>-0.41221000000000002</v>
      </c>
      <c r="BH12" s="23">
        <f t="shared" si="18"/>
        <v>-0.36316589130227445</v>
      </c>
    </row>
    <row r="13" spans="1:60" x14ac:dyDescent="0.25">
      <c r="A13" s="7" t="s">
        <v>140</v>
      </c>
      <c r="B13" s="7" t="s">
        <v>131</v>
      </c>
      <c r="C13" s="10">
        <f t="shared" si="0"/>
        <v>41</v>
      </c>
      <c r="D13">
        <v>41</v>
      </c>
      <c r="E13" s="94">
        <v>89.5</v>
      </c>
      <c r="F13" s="71">
        <v>85</v>
      </c>
      <c r="G13" s="96">
        <f t="shared" si="1"/>
        <v>2.1829268292682928</v>
      </c>
      <c r="H13" s="120">
        <f t="shared" si="2"/>
        <v>2.0731707317073171</v>
      </c>
      <c r="I13" s="120">
        <f t="shared" si="3"/>
        <v>5.1248467852507459E-2</v>
      </c>
      <c r="J13" s="97">
        <f>H13/H15</f>
        <v>5.2932944303435397E-2</v>
      </c>
      <c r="K13" s="34">
        <v>0</v>
      </c>
      <c r="L13" s="34">
        <v>0</v>
      </c>
      <c r="M13" s="34">
        <f t="shared" si="4"/>
        <v>0</v>
      </c>
      <c r="N13" s="34">
        <f t="shared" si="5"/>
        <v>0</v>
      </c>
      <c r="O13" s="40">
        <f>N13/N15</f>
        <v>0</v>
      </c>
      <c r="P13" s="40">
        <f t="shared" si="6"/>
        <v>0</v>
      </c>
      <c r="Q13" s="40">
        <f t="shared" si="7"/>
        <v>3.1759766582061234E-2</v>
      </c>
      <c r="R13" s="48">
        <f t="shared" si="8"/>
        <v>3.0749080711504475E-2</v>
      </c>
      <c r="S13" s="26">
        <v>-0.65600000000000003</v>
      </c>
      <c r="T13">
        <v>-0.40500000000000003</v>
      </c>
      <c r="U13" s="26">
        <f t="shared" si="9"/>
        <v>-0.65515539435749182</v>
      </c>
      <c r="V13" s="26">
        <f t="shared" si="13"/>
        <v>-0.65924698637182544</v>
      </c>
      <c r="X13" s="37"/>
      <c r="Y13" s="37"/>
      <c r="Z13" s="37"/>
      <c r="AA13" s="37"/>
      <c r="AB13" s="37"/>
      <c r="AC13" s="37"/>
      <c r="AD13" s="37"/>
      <c r="AE13" s="69"/>
      <c r="AF13" s="59"/>
      <c r="AG13" s="59"/>
      <c r="AH13" s="59"/>
      <c r="AR13">
        <v>179</v>
      </c>
      <c r="AS13">
        <v>179</v>
      </c>
      <c r="AT13">
        <f t="shared" si="12"/>
        <v>0</v>
      </c>
      <c r="AU13">
        <v>318</v>
      </c>
      <c r="AV13">
        <v>317</v>
      </c>
      <c r="AW13">
        <f t="shared" si="14"/>
        <v>-139</v>
      </c>
      <c r="AX13">
        <f t="shared" si="15"/>
        <v>-138</v>
      </c>
      <c r="AY13" s="23">
        <v>-0.55700000000000005</v>
      </c>
      <c r="AZ13" s="23">
        <f>(AX13-AX$16)/AX$17</f>
        <v>-0.55650565726248635</v>
      </c>
      <c r="BA13" s="34">
        <v>0</v>
      </c>
      <c r="BB13" s="233">
        <v>0</v>
      </c>
      <c r="BC13" s="119">
        <v>152295.82999999999</v>
      </c>
      <c r="BD13" s="119">
        <v>153942</v>
      </c>
      <c r="BE13" s="119">
        <f t="shared" si="16"/>
        <v>-152295.82999999999</v>
      </c>
      <c r="BF13" s="119">
        <f t="shared" si="17"/>
        <v>-153942</v>
      </c>
      <c r="BG13" s="23">
        <v>-0.80313000000000001</v>
      </c>
      <c r="BH13" s="23">
        <f t="shared" si="18"/>
        <v>-0.81335898003583407</v>
      </c>
    </row>
    <row r="14" spans="1:60" x14ac:dyDescent="0.25">
      <c r="C14" s="1">
        <f>SUM(C3:C13)</f>
        <v>1314</v>
      </c>
      <c r="D14" s="1">
        <f>SUM(D3:D13)</f>
        <v>1314</v>
      </c>
      <c r="E14" s="121">
        <f>SUM(E3:E13)</f>
        <v>7107</v>
      </c>
      <c r="F14" s="91">
        <f>SUM(F3:F13)</f>
        <v>6126.5</v>
      </c>
      <c r="G14" s="122">
        <f t="shared" si="1"/>
        <v>5.4086757990867582</v>
      </c>
      <c r="H14" s="122">
        <f t="shared" si="2"/>
        <v>4.6624809741248097</v>
      </c>
      <c r="I14" s="122">
        <f>SUM(I3:I13)</f>
        <v>1</v>
      </c>
      <c r="J14" s="123">
        <f>SUM(J3:J13)</f>
        <v>1</v>
      </c>
      <c r="K14" s="55">
        <f>SUM(K3:K13)</f>
        <v>970457</v>
      </c>
      <c r="L14" s="55">
        <f>SUM(L3:L13)</f>
        <v>515034</v>
      </c>
      <c r="M14" s="55">
        <f t="shared" si="4"/>
        <v>738.55175038051755</v>
      </c>
      <c r="N14" s="55">
        <f t="shared" si="5"/>
        <v>391.95890410958901</v>
      </c>
      <c r="O14" s="57">
        <f>SUM(O3:O13)</f>
        <v>1</v>
      </c>
      <c r="P14" s="57">
        <f>SUM(P3:P13)</f>
        <v>1</v>
      </c>
      <c r="Q14" s="57">
        <f>SUM(Q3:Q13)</f>
        <v>1</v>
      </c>
      <c r="R14" s="82">
        <f>SUM(R3:R13)</f>
        <v>1</v>
      </c>
      <c r="S14" s="82"/>
      <c r="T14" s="57"/>
      <c r="U14" s="57"/>
      <c r="V14" s="57"/>
      <c r="W14" s="61">
        <f t="shared" ref="W14:AF14" si="19">SUM(W3:W13)</f>
        <v>2244684.0333812442</v>
      </c>
      <c r="X14" s="61" t="e">
        <f t="shared" si="19"/>
        <v>#VALUE!</v>
      </c>
      <c r="Y14" s="61"/>
      <c r="Z14" s="61">
        <f>SUM(Z3:Z13)</f>
        <v>2244684.0333812442</v>
      </c>
      <c r="AA14" s="61"/>
      <c r="AB14" s="61">
        <f>SUM(AB3:AB13)</f>
        <v>250.38470910752361</v>
      </c>
      <c r="AC14" s="61">
        <f>SUM(AC3:AC13)</f>
        <v>246.956544017608</v>
      </c>
      <c r="AD14" s="61">
        <f>SUM(AD3:AD5)</f>
        <v>247.00208922574188</v>
      </c>
      <c r="AE14" s="70">
        <f>SUM(AE3:AE13)</f>
        <v>1</v>
      </c>
      <c r="AF14" s="60" t="e">
        <f t="shared" si="19"/>
        <v>#VALUE!</v>
      </c>
      <c r="AG14" s="60"/>
      <c r="AH14" s="60"/>
      <c r="AR14" s="1">
        <f>SUM(AR3:AR13)</f>
        <v>14214</v>
      </c>
      <c r="AS14" s="1">
        <f>SUM(AS3:AS13)</f>
        <v>14086</v>
      </c>
      <c r="AT14" s="1"/>
      <c r="BA14" s="55">
        <f>SUM(BA3:BA13)</f>
        <v>970457</v>
      </c>
      <c r="BB14" s="55">
        <f>SUM(BB3:BB13)</f>
        <v>980456.7699999999</v>
      </c>
    </row>
    <row r="15" spans="1:60" ht="15.75" thickBot="1" x14ac:dyDescent="0.3">
      <c r="E15" s="124"/>
      <c r="F15" s="125"/>
      <c r="G15" s="113">
        <f>SUM(G3:G13)</f>
        <v>42.594967630071068</v>
      </c>
      <c r="H15" s="113">
        <f>SUM(H3:H13)</f>
        <v>39.165981771634918</v>
      </c>
      <c r="I15" s="113"/>
      <c r="J15" s="126"/>
      <c r="M15" s="55">
        <f>SUM(M3:M13)</f>
        <v>16513.167234274883</v>
      </c>
      <c r="N15" s="55">
        <f>SUM(N3:N13)</f>
        <v>9619.32608598146</v>
      </c>
      <c r="Y15" s="232" t="s">
        <v>326</v>
      </c>
      <c r="Z15" s="232"/>
      <c r="AA15" s="232"/>
      <c r="AB15" s="232" t="s">
        <v>327</v>
      </c>
      <c r="AS15" s="163">
        <f>(AS14/AR14)*100</f>
        <v>99.099479386520329</v>
      </c>
      <c r="BE15" s="1" t="s">
        <v>319</v>
      </c>
      <c r="BF15" s="119">
        <f>AVERAGE(BF3:BF13)</f>
        <v>-17900.11181818182</v>
      </c>
    </row>
    <row r="16" spans="1:60" ht="18.75" x14ac:dyDescent="0.3">
      <c r="A16" s="14"/>
      <c r="W16" s="232" t="s">
        <v>325</v>
      </c>
      <c r="Y16" s="37">
        <f>W3-Y3</f>
        <v>-33362.926536917919</v>
      </c>
      <c r="Z16" s="37"/>
      <c r="AA16" s="37"/>
      <c r="AB16" s="40">
        <f>ABS(Y16)/W3</f>
        <v>4.324203557505775E-2</v>
      </c>
      <c r="AV16" s="1" t="s">
        <v>320</v>
      </c>
      <c r="AW16">
        <f>AVERAGE(AW3:AW13)</f>
        <v>365.81818181818181</v>
      </c>
      <c r="AX16">
        <f>AVERAGE(AX3:AX13)</f>
        <v>358.09090909090907</v>
      </c>
      <c r="BE16" s="1" t="s">
        <v>316</v>
      </c>
      <c r="BF16">
        <f>STDEV(BF3:BF13)</f>
        <v>167259.34245642016</v>
      </c>
    </row>
    <row r="17" spans="1:50" ht="18.75" x14ac:dyDescent="0.3">
      <c r="A17" s="14"/>
      <c r="Y17" s="37">
        <f>W4-Y4</f>
        <v>38909.16160773579</v>
      </c>
      <c r="Z17" s="37"/>
      <c r="AA17" s="37"/>
      <c r="AB17" s="40">
        <f>Y17/W4</f>
        <v>3.1208282754471073E-2</v>
      </c>
      <c r="AV17" s="1" t="s">
        <v>316</v>
      </c>
      <c r="AW17">
        <f>STDEV(AW3:AW13)</f>
        <v>906.21584825932268</v>
      </c>
      <c r="AX17">
        <f>STDEV(AX3:AX13)</f>
        <v>891.43911228366619</v>
      </c>
    </row>
    <row r="18" spans="1:50" ht="18.75" x14ac:dyDescent="0.3">
      <c r="A18" s="14"/>
      <c r="Y18" s="37">
        <f>W5-Y5</f>
        <v>-5546.2350708176091</v>
      </c>
      <c r="Z18" s="37"/>
      <c r="AA18" s="37"/>
      <c r="AB18" s="40">
        <f>ABS(Y18)/W5</f>
        <v>2.4498881443969694E-2</v>
      </c>
    </row>
    <row r="19" spans="1:50" ht="18.75" x14ac:dyDescent="0.3">
      <c r="A19" s="14"/>
    </row>
    <row r="20" spans="1:50" ht="18.75" x14ac:dyDescent="0.3">
      <c r="A20" s="14"/>
    </row>
    <row r="21" spans="1:50" ht="18.75" x14ac:dyDescent="0.3">
      <c r="A21" s="14"/>
    </row>
    <row r="22" spans="1:50" ht="18.75" x14ac:dyDescent="0.3">
      <c r="A22" s="14"/>
    </row>
    <row r="23" spans="1:50" ht="18.75" x14ac:dyDescent="0.3">
      <c r="A23" s="14"/>
    </row>
    <row r="24" spans="1:50" ht="18.75" x14ac:dyDescent="0.3">
      <c r="A24" s="14"/>
    </row>
    <row r="25" spans="1:50" ht="18.75" x14ac:dyDescent="0.3">
      <c r="A25" s="14"/>
    </row>
    <row r="26" spans="1:50" ht="18.75" x14ac:dyDescent="0.3">
      <c r="A26" s="14"/>
    </row>
    <row r="27" spans="1:50" ht="18.75" x14ac:dyDescent="0.3">
      <c r="A27" s="14"/>
    </row>
    <row r="28" spans="1:50" ht="18.75" x14ac:dyDescent="0.3">
      <c r="A28" s="14"/>
    </row>
    <row r="29" spans="1:50" ht="18.75" x14ac:dyDescent="0.3">
      <c r="A29" s="14"/>
    </row>
    <row r="30" spans="1:50" ht="18.75" x14ac:dyDescent="0.3">
      <c r="A30" s="14"/>
    </row>
    <row r="31" spans="1:50" ht="18.75" x14ac:dyDescent="0.3">
      <c r="A31" s="14"/>
    </row>
    <row r="32" spans="1:50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  <row r="37" spans="1:1" ht="18.75" x14ac:dyDescent="0.3">
      <c r="A37" s="14"/>
    </row>
    <row r="38" spans="1:1" ht="18.75" x14ac:dyDescent="0.3">
      <c r="A38" s="14"/>
    </row>
    <row r="39" spans="1:1" ht="18.75" x14ac:dyDescent="0.3">
      <c r="A39" s="14"/>
    </row>
    <row r="40" spans="1:1" ht="18.75" x14ac:dyDescent="0.3">
      <c r="A40" s="14"/>
    </row>
  </sheetData>
  <dataValidations disablePrompts="1" count="1">
    <dataValidation type="list" showInputMessage="1" showErrorMessage="1" sqref="D1">
      <formula1>$A$16:$A$40</formula1>
    </dataValidation>
  </dataValidations>
  <pageMargins left="0.75" right="0.75" top="1" bottom="1" header="0.5" footer="0.5"/>
  <pageSetup orientation="portrait" r:id="rId1"/>
  <ignoredErrors>
    <ignoredError sqref="N14 AB17 AD14" formula="1"/>
    <ignoredError sqref="H15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8"/>
  <sheetViews>
    <sheetView topLeftCell="AK1" workbookViewId="0">
      <pane ySplit="2" topLeftCell="A3" activePane="bottomLeft" state="frozen"/>
      <selection pane="bottomLeft" activeCell="AR13" sqref="AR13:AR14"/>
    </sheetView>
  </sheetViews>
  <sheetFormatPr defaultColWidth="8.7109375" defaultRowHeight="15" x14ac:dyDescent="0.25"/>
  <cols>
    <col min="1" max="1" width="48" bestFit="1" customWidth="1"/>
    <col min="2" max="2" width="60.5703125" customWidth="1"/>
    <col min="3" max="3" width="9" style="1" customWidth="1"/>
    <col min="4" max="4" width="16.42578125" hidden="1" customWidth="1"/>
    <col min="5" max="5" width="12.140625" hidden="1" customWidth="1"/>
    <col min="6" max="6" width="13.28515625" style="16" hidden="1" customWidth="1"/>
    <col min="7" max="7" width="13.28515625" hidden="1" customWidth="1"/>
    <col min="8" max="9" width="16.28515625" hidden="1" customWidth="1"/>
    <col min="10" max="11" width="13.85546875" hidden="1" customWidth="1"/>
    <col min="12" max="12" width="20.140625" style="16" hidden="1" customWidth="1"/>
    <col min="13" max="13" width="20.140625" hidden="1" customWidth="1"/>
    <col min="14" max="16" width="14.7109375" hidden="1" customWidth="1"/>
    <col min="17" max="17" width="13.85546875" hidden="1" customWidth="1"/>
    <col min="18" max="19" width="14" hidden="1" customWidth="1"/>
    <col min="20" max="20" width="15.28515625" customWidth="1"/>
    <col min="21" max="21" width="14.140625" hidden="1" customWidth="1"/>
    <col min="22" max="22" width="23.5703125" style="16" bestFit="1" customWidth="1"/>
    <col min="23" max="23" width="11.7109375" customWidth="1"/>
    <col min="24" max="24" width="11.140625" hidden="1" customWidth="1"/>
    <col min="25" max="25" width="12.85546875" bestFit="1" customWidth="1"/>
    <col min="26" max="26" width="12.85546875" customWidth="1"/>
    <col min="27" max="27" width="11.140625" customWidth="1"/>
    <col min="28" max="28" width="11.7109375" hidden="1" customWidth="1"/>
    <col min="29" max="29" width="19.140625" bestFit="1" customWidth="1"/>
    <col min="30" max="30" width="12.7109375" bestFit="1" customWidth="1"/>
    <col min="31" max="31" width="20.140625" bestFit="1" customWidth="1"/>
    <col min="32" max="32" width="11.140625" bestFit="1" customWidth="1"/>
    <col min="33" max="33" width="0" hidden="1" customWidth="1"/>
    <col min="34" max="34" width="12.140625" hidden="1" customWidth="1"/>
    <col min="35" max="35" width="12.140625" bestFit="1" customWidth="1"/>
    <col min="36" max="36" width="19.5703125" bestFit="1" customWidth="1"/>
    <col min="37" max="37" width="12.28515625" bestFit="1" customWidth="1"/>
    <col min="38" max="38" width="19.7109375" bestFit="1" customWidth="1"/>
    <col min="39" max="39" width="10" bestFit="1" customWidth="1"/>
    <col min="40" max="40" width="17.42578125" bestFit="1" customWidth="1"/>
    <col min="41" max="41" width="7.140625" bestFit="1" customWidth="1"/>
    <col min="43" max="43" width="16.28515625" bestFit="1" customWidth="1"/>
    <col min="44" max="44" width="11.7109375" bestFit="1" customWidth="1"/>
    <col min="45" max="45" width="17" bestFit="1" customWidth="1"/>
    <col min="46" max="46" width="12.28515625" bestFit="1" customWidth="1"/>
    <col min="47" max="47" width="19.7109375" bestFit="1" customWidth="1"/>
    <col min="48" max="48" width="9.5703125" bestFit="1" customWidth="1"/>
    <col min="49" max="49" width="16.85546875" bestFit="1" customWidth="1"/>
    <col min="51" max="51" width="15.85546875" bestFit="1" customWidth="1"/>
    <col min="52" max="52" width="11.7109375" bestFit="1" customWidth="1"/>
    <col min="53" max="53" width="16.5703125" bestFit="1" customWidth="1"/>
    <col min="55" max="55" width="14.7109375" bestFit="1" customWidth="1"/>
  </cols>
  <sheetData>
    <row r="1" spans="1:55" ht="30" x14ac:dyDescent="0.25">
      <c r="C1" s="2" t="s">
        <v>144</v>
      </c>
      <c r="D1" s="4" t="s">
        <v>24</v>
      </c>
      <c r="E1" s="4" t="s">
        <v>25</v>
      </c>
      <c r="F1" s="85" t="s">
        <v>159</v>
      </c>
      <c r="G1" s="86" t="s">
        <v>159</v>
      </c>
      <c r="H1" s="87" t="s">
        <v>152</v>
      </c>
      <c r="I1" s="87" t="s">
        <v>152</v>
      </c>
      <c r="J1" s="87"/>
      <c r="K1" s="89"/>
      <c r="L1" s="19"/>
      <c r="M1" s="21" t="s">
        <v>153</v>
      </c>
      <c r="N1" s="21"/>
      <c r="O1" s="21"/>
      <c r="P1" s="21"/>
      <c r="Q1" s="21"/>
      <c r="AF1" s="66">
        <v>6.0199999999999997E-2</v>
      </c>
      <c r="AK1" t="s">
        <v>181</v>
      </c>
      <c r="AL1" s="247" t="s">
        <v>352</v>
      </c>
    </row>
    <row r="2" spans="1:55" x14ac:dyDescent="0.25">
      <c r="A2" s="5" t="s">
        <v>0</v>
      </c>
      <c r="B2" s="5" t="s">
        <v>1</v>
      </c>
      <c r="C2" s="6"/>
      <c r="F2" s="90" t="s">
        <v>185</v>
      </c>
      <c r="G2" s="91" t="s">
        <v>193</v>
      </c>
      <c r="H2" s="91" t="s">
        <v>188</v>
      </c>
      <c r="I2" s="91" t="s">
        <v>187</v>
      </c>
      <c r="J2" s="92" t="s">
        <v>190</v>
      </c>
      <c r="K2" s="93" t="s">
        <v>189</v>
      </c>
      <c r="L2" s="1" t="s">
        <v>171</v>
      </c>
      <c r="M2" s="1" t="s">
        <v>170</v>
      </c>
      <c r="N2" s="1" t="s">
        <v>191</v>
      </c>
      <c r="O2" s="1" t="s">
        <v>192</v>
      </c>
      <c r="P2" s="1" t="s">
        <v>190</v>
      </c>
      <c r="Q2" s="1" t="s">
        <v>189</v>
      </c>
      <c r="R2" s="1" t="s">
        <v>176</v>
      </c>
      <c r="S2" s="1" t="s">
        <v>177</v>
      </c>
      <c r="T2" s="1" t="s">
        <v>175</v>
      </c>
      <c r="U2" s="1" t="s">
        <v>174</v>
      </c>
      <c r="V2" s="62" t="s">
        <v>351</v>
      </c>
      <c r="W2" s="1" t="s">
        <v>158</v>
      </c>
      <c r="X2" s="1" t="s">
        <v>178</v>
      </c>
      <c r="Y2" s="1" t="s">
        <v>262</v>
      </c>
      <c r="Z2" s="245" t="s">
        <v>344</v>
      </c>
      <c r="AA2" s="1" t="s">
        <v>182</v>
      </c>
      <c r="AB2" s="1" t="s">
        <v>179</v>
      </c>
      <c r="AC2" s="1" t="s">
        <v>323</v>
      </c>
      <c r="AD2" s="1" t="s">
        <v>200</v>
      </c>
      <c r="AE2" s="1" t="s">
        <v>321</v>
      </c>
      <c r="AF2" s="1" t="s">
        <v>163</v>
      </c>
      <c r="AG2" s="1" t="s">
        <v>2</v>
      </c>
      <c r="AH2" s="16"/>
      <c r="AI2" s="39" t="s">
        <v>184</v>
      </c>
      <c r="AJ2" s="39" t="s">
        <v>324</v>
      </c>
      <c r="AK2" s="78">
        <v>1.845</v>
      </c>
      <c r="AL2" s="25">
        <f>SUM(V4,V9)</f>
        <v>2.0764835779563633</v>
      </c>
      <c r="AM2" s="1" t="s">
        <v>239</v>
      </c>
      <c r="AN2" s="1" t="s">
        <v>263</v>
      </c>
      <c r="AO2" s="1" t="s">
        <v>256</v>
      </c>
      <c r="AP2" s="1" t="s">
        <v>240</v>
      </c>
      <c r="AQ2" s="1" t="s">
        <v>257</v>
      </c>
      <c r="AR2" s="1" t="s">
        <v>241</v>
      </c>
      <c r="AS2" s="1" t="s">
        <v>258</v>
      </c>
      <c r="AT2" s="1" t="s">
        <v>242</v>
      </c>
      <c r="AU2" s="1" t="s">
        <v>259</v>
      </c>
      <c r="AV2" s="1" t="s">
        <v>243</v>
      </c>
      <c r="AW2" s="1" t="s">
        <v>328</v>
      </c>
      <c r="AX2" s="1" t="s">
        <v>244</v>
      </c>
      <c r="AY2" s="1" t="s">
        <v>336</v>
      </c>
      <c r="AZ2" s="1" t="s">
        <v>245</v>
      </c>
      <c r="BA2" s="1" t="s">
        <v>337</v>
      </c>
      <c r="BB2" s="1" t="s">
        <v>246</v>
      </c>
      <c r="BC2" s="1" t="s">
        <v>338</v>
      </c>
    </row>
    <row r="3" spans="1:55" x14ac:dyDescent="0.25">
      <c r="A3" s="7" t="s">
        <v>60</v>
      </c>
      <c r="B3" s="7" t="s">
        <v>63</v>
      </c>
      <c r="C3" s="10">
        <f t="shared" ref="C3:C11" si="0">SUM(D3:E3)</f>
        <v>41</v>
      </c>
      <c r="D3" s="8">
        <v>41</v>
      </c>
      <c r="E3">
        <v>0</v>
      </c>
      <c r="F3" s="106">
        <v>485.5</v>
      </c>
      <c r="G3" s="71">
        <v>299</v>
      </c>
      <c r="H3" s="107">
        <f>F3/C3</f>
        <v>11.841463414634147</v>
      </c>
      <c r="I3" s="128">
        <f>G3/C3</f>
        <v>7.2926829268292686</v>
      </c>
      <c r="J3" s="128">
        <f>H3/H$14</f>
        <v>0.26855711961887407</v>
      </c>
      <c r="K3" s="108">
        <f>I3/I14</f>
        <v>0.28933640284874024</v>
      </c>
      <c r="L3" s="77">
        <v>53270</v>
      </c>
      <c r="M3" s="34">
        <v>0</v>
      </c>
      <c r="N3" s="34">
        <f>L3/C3</f>
        <v>1299.2682926829268</v>
      </c>
      <c r="O3" s="34"/>
      <c r="P3" s="40">
        <f>N3/N$13</f>
        <v>0.20931699390894795</v>
      </c>
      <c r="Q3" s="48"/>
      <c r="R3" s="48">
        <f t="shared" ref="R3:R11" si="1">(0.6*K3)+(0.4*Q3)</f>
        <v>0.17360184170924414</v>
      </c>
      <c r="S3" s="48">
        <f t="shared" ref="S3:S11" si="2">(0.6*J3)+(0.4*P3)</f>
        <v>0.24486106933490365</v>
      </c>
      <c r="T3" s="26">
        <v>-7.2999999999999995E-2</v>
      </c>
      <c r="U3">
        <v>0.38</v>
      </c>
      <c r="V3" s="26">
        <f>(0.6*AU3)+(0.4*BC3)</f>
        <v>9.1132766323651221E-2</v>
      </c>
      <c r="AF3" s="37">
        <v>876669.18666714244</v>
      </c>
      <c r="AG3">
        <v>157</v>
      </c>
      <c r="AH3" s="39" t="s">
        <v>184</v>
      </c>
      <c r="AI3" s="147">
        <f>AF3/AA12</f>
        <v>10446.64890138137</v>
      </c>
      <c r="AJ3" s="147">
        <f>AF3/AC12</f>
        <v>10672.147026816347</v>
      </c>
      <c r="AM3">
        <v>971</v>
      </c>
      <c r="AN3">
        <v>971</v>
      </c>
      <c r="AO3">
        <f>AM3-AN3</f>
        <v>0</v>
      </c>
      <c r="AP3">
        <v>139</v>
      </c>
      <c r="AQ3">
        <v>151</v>
      </c>
      <c r="AR3">
        <f t="shared" ref="AR3:AS5" si="3">AM3-AP3</f>
        <v>832</v>
      </c>
      <c r="AS3">
        <f t="shared" si="3"/>
        <v>820</v>
      </c>
      <c r="AT3">
        <v>0.187</v>
      </c>
      <c r="AU3" s="23">
        <f>(AS3-AS$13)/AS$14</f>
        <v>0.19024164020366996</v>
      </c>
      <c r="AV3" s="34">
        <v>53270</v>
      </c>
      <c r="AW3" s="234">
        <v>19870.25</v>
      </c>
      <c r="AX3">
        <v>74227</v>
      </c>
      <c r="AY3">
        <v>22333</v>
      </c>
      <c r="AZ3">
        <f>AV3-AX3</f>
        <v>-20957</v>
      </c>
      <c r="BA3" s="34">
        <f>AW3-AY3</f>
        <v>-2462.75</v>
      </c>
      <c r="BB3">
        <v>-0.46300000000000002</v>
      </c>
      <c r="BC3" s="23">
        <f>(BA3-BA$13)/BA$14</f>
        <v>-5.7530544496376894E-2</v>
      </c>
    </row>
    <row r="4" spans="1:55" x14ac:dyDescent="0.25">
      <c r="A4" s="9" t="s">
        <v>60</v>
      </c>
      <c r="B4" s="9" t="s">
        <v>65</v>
      </c>
      <c r="C4" s="10">
        <f t="shared" si="0"/>
        <v>94</v>
      </c>
      <c r="D4" s="8">
        <v>94</v>
      </c>
      <c r="E4">
        <v>0</v>
      </c>
      <c r="F4" s="106">
        <v>831.5</v>
      </c>
      <c r="G4" s="71">
        <v>502.5</v>
      </c>
      <c r="H4" s="107">
        <f>F4/C4</f>
        <v>8.8457446808510642</v>
      </c>
      <c r="I4" s="128">
        <f>G4/C4</f>
        <v>5.3457446808510642</v>
      </c>
      <c r="J4" s="128">
        <f>H4/H$14</f>
        <v>0.20061605809949923</v>
      </c>
      <c r="K4" s="108">
        <f>I4/I14</f>
        <v>0.21209183945389493</v>
      </c>
      <c r="L4" s="77">
        <v>95610</v>
      </c>
      <c r="M4" s="34">
        <v>206835</v>
      </c>
      <c r="N4" s="34">
        <f>L4/C4</f>
        <v>1017.1276595744681</v>
      </c>
      <c r="O4" s="34">
        <f>M4/C4</f>
        <v>2200.372340425532</v>
      </c>
      <c r="P4" s="40">
        <f>N4/N$13</f>
        <v>0.16386307995259297</v>
      </c>
      <c r="Q4" s="48">
        <f>O4/O13</f>
        <v>0.5199270859060815</v>
      </c>
      <c r="R4" s="48">
        <f t="shared" si="1"/>
        <v>0.33522593803476952</v>
      </c>
      <c r="S4" s="48">
        <f t="shared" si="2"/>
        <v>0.18591486684073671</v>
      </c>
      <c r="T4" s="25">
        <v>1.2450000000000001</v>
      </c>
      <c r="U4" s="73">
        <v>1.1499999999999999</v>
      </c>
      <c r="V4" s="25">
        <f>(0.6*AU4)+(0.4*BC4)</f>
        <v>1.2824316499498281</v>
      </c>
      <c r="W4" s="67">
        <f>AA4*AI3</f>
        <v>662640.28234615829</v>
      </c>
      <c r="X4" s="67" t="e">
        <f>AB4*C4</f>
        <v>#VALUE!</v>
      </c>
      <c r="Y4" s="67">
        <f>AC4*AJ$3</f>
        <v>619562.86625499919</v>
      </c>
      <c r="Z4" s="70">
        <f>Y4-W4</f>
        <v>-43077.416091159103</v>
      </c>
      <c r="AA4" s="70">
        <f>AD4*C4</f>
        <v>63.430894308943103</v>
      </c>
      <c r="AB4" s="59" t="e">
        <f>U4/AI2</f>
        <v>#VALUE!</v>
      </c>
      <c r="AC4" s="60">
        <f>AE4*C4</f>
        <v>58.054191410425467</v>
      </c>
      <c r="AD4" s="59">
        <f>T4/AK$2</f>
        <v>0.67479674796747979</v>
      </c>
      <c r="AE4" s="59">
        <f>V4/AL$2</f>
        <v>0.61759778096197304</v>
      </c>
      <c r="AG4" s="52">
        <f>AG3/C12</f>
        <v>0.36854460093896713</v>
      </c>
      <c r="AH4" s="1"/>
      <c r="AM4">
        <v>1663</v>
      </c>
      <c r="AN4">
        <v>1662</v>
      </c>
      <c r="AO4">
        <f>AM4-AN4</f>
        <v>1</v>
      </c>
      <c r="AP4">
        <v>318</v>
      </c>
      <c r="AQ4">
        <v>345</v>
      </c>
      <c r="AR4">
        <f t="shared" si="3"/>
        <v>1345</v>
      </c>
      <c r="AS4">
        <f t="shared" si="3"/>
        <v>1317</v>
      </c>
      <c r="AT4">
        <v>1.343</v>
      </c>
      <c r="AU4" s="23">
        <f>(AS4-AS$13)/AS$14</f>
        <v>1.3271165321622753</v>
      </c>
      <c r="AV4" s="34">
        <v>95610</v>
      </c>
      <c r="AW4" s="234">
        <v>95610.05</v>
      </c>
      <c r="AX4">
        <v>46062</v>
      </c>
      <c r="AY4">
        <v>47386</v>
      </c>
      <c r="AZ4">
        <f t="shared" ref="AZ4:AZ11" si="4">AV4-AX4</f>
        <v>49548</v>
      </c>
      <c r="BA4" s="34">
        <f>AW4-AY4</f>
        <v>48224.05</v>
      </c>
      <c r="BB4">
        <v>1.0980000000000001</v>
      </c>
      <c r="BC4" s="23">
        <f>(BA4-BA$13)/BA$14</f>
        <v>1.2154043266311574</v>
      </c>
    </row>
    <row r="5" spans="1:55" x14ac:dyDescent="0.25">
      <c r="A5" s="7" t="s">
        <v>60</v>
      </c>
      <c r="B5" s="7" t="s">
        <v>66</v>
      </c>
      <c r="C5" s="10">
        <f t="shared" si="0"/>
        <v>46</v>
      </c>
      <c r="D5" s="8">
        <v>46</v>
      </c>
      <c r="E5">
        <v>0</v>
      </c>
      <c r="F5" s="106">
        <v>296.5</v>
      </c>
      <c r="G5" s="71">
        <v>75</v>
      </c>
      <c r="H5" s="107">
        <f>F5/C5</f>
        <v>6.4456521739130439</v>
      </c>
      <c r="I5" s="128">
        <f>G5/C5</f>
        <v>1.6304347826086956</v>
      </c>
      <c r="J5" s="128">
        <f>H5/H$14</f>
        <v>0.14618343369215256</v>
      </c>
      <c r="K5" s="108">
        <f>I5/I14</f>
        <v>6.4687322870428679E-2</v>
      </c>
      <c r="L5" s="77">
        <v>107767</v>
      </c>
      <c r="M5" s="34">
        <v>15893</v>
      </c>
      <c r="N5" s="34">
        <f>L5/C5</f>
        <v>2342.7608695652175</v>
      </c>
      <c r="O5" s="34">
        <f>M5/C5</f>
        <v>345.5</v>
      </c>
      <c r="P5" s="40">
        <f>N5/N$13</f>
        <v>0.37742756090221652</v>
      </c>
      <c r="Q5" s="48">
        <f>O5/O13</f>
        <v>8.1638368598021649E-2</v>
      </c>
      <c r="R5" s="48">
        <f t="shared" si="1"/>
        <v>7.146774116146587E-2</v>
      </c>
      <c r="S5" s="48">
        <f t="shared" si="2"/>
        <v>0.23868108457617815</v>
      </c>
      <c r="T5" s="26">
        <v>-8.2000000000000003E-2</v>
      </c>
      <c r="U5">
        <v>-0.56999999999999995</v>
      </c>
      <c r="V5" s="26">
        <f>(0.6*AU5)+(0.4*BC5)</f>
        <v>-0.52741220674062139</v>
      </c>
      <c r="W5" s="61"/>
      <c r="X5" s="37"/>
      <c r="Y5" s="37"/>
      <c r="Z5" s="69"/>
      <c r="AA5" s="69"/>
      <c r="AB5" s="59"/>
      <c r="AC5" s="59"/>
      <c r="AD5" s="59"/>
      <c r="AE5" s="59"/>
      <c r="AM5">
        <v>593</v>
      </c>
      <c r="AN5">
        <v>598</v>
      </c>
      <c r="AO5">
        <f>AM5-AN5</f>
        <v>-5</v>
      </c>
      <c r="AP5">
        <v>156</v>
      </c>
      <c r="AQ5">
        <v>169</v>
      </c>
      <c r="AR5">
        <f t="shared" si="3"/>
        <v>437</v>
      </c>
      <c r="AS5">
        <f t="shared" si="3"/>
        <v>429</v>
      </c>
      <c r="AT5">
        <v>-0.70299999999999996</v>
      </c>
      <c r="AU5" s="23">
        <f>(AS5-AS$13)/AS$14</f>
        <v>-0.70416094079394509</v>
      </c>
      <c r="AV5" s="34">
        <v>107767</v>
      </c>
      <c r="AW5" s="234">
        <v>14172</v>
      </c>
      <c r="AX5">
        <v>69474</v>
      </c>
      <c r="AY5">
        <v>24788</v>
      </c>
      <c r="AZ5">
        <f t="shared" si="4"/>
        <v>38293</v>
      </c>
      <c r="BA5" s="34">
        <f>AW5-AY5</f>
        <v>-10616</v>
      </c>
      <c r="BB5">
        <v>0.84899999999999998</v>
      </c>
      <c r="BC5" s="23">
        <f>(BA5-BA$13)/BA$14</f>
        <v>-0.26228910566063601</v>
      </c>
    </row>
    <row r="6" spans="1:55" x14ac:dyDescent="0.25">
      <c r="A6" s="9" t="s">
        <v>60</v>
      </c>
      <c r="B6" s="9" t="s">
        <v>67</v>
      </c>
      <c r="C6" s="32">
        <f t="shared" si="0"/>
        <v>2</v>
      </c>
      <c r="D6" s="8">
        <v>2</v>
      </c>
      <c r="E6">
        <v>0</v>
      </c>
      <c r="F6" s="106"/>
      <c r="G6" s="71"/>
      <c r="H6" s="107"/>
      <c r="I6" s="128"/>
      <c r="J6" s="128"/>
      <c r="K6" s="108"/>
      <c r="L6" s="77"/>
      <c r="M6" s="34"/>
      <c r="N6" s="34"/>
      <c r="O6" s="34"/>
      <c r="P6" s="40"/>
      <c r="Q6" s="48"/>
      <c r="R6" s="48">
        <f t="shared" si="1"/>
        <v>0</v>
      </c>
      <c r="S6" s="48">
        <f t="shared" si="2"/>
        <v>0</v>
      </c>
      <c r="T6" s="23"/>
      <c r="U6" s="40"/>
      <c r="V6" s="26"/>
      <c r="W6" s="61"/>
      <c r="X6" s="37"/>
      <c r="Y6" s="37"/>
      <c r="Z6" s="69"/>
      <c r="AA6" s="69"/>
      <c r="AB6" s="59"/>
      <c r="AC6" s="59"/>
      <c r="AD6" s="59"/>
      <c r="AE6" s="59"/>
      <c r="AF6" s="37"/>
      <c r="AU6" s="23"/>
      <c r="AV6" s="34"/>
      <c r="AW6" s="234">
        <v>0</v>
      </c>
      <c r="BC6" s="23"/>
    </row>
    <row r="7" spans="1:55" x14ac:dyDescent="0.25">
      <c r="A7" s="7" t="s">
        <v>68</v>
      </c>
      <c r="B7" s="7" t="s">
        <v>69</v>
      </c>
      <c r="C7" s="32">
        <f t="shared" si="0"/>
        <v>2</v>
      </c>
      <c r="D7" s="8">
        <v>2</v>
      </c>
      <c r="E7" s="8">
        <v>0</v>
      </c>
      <c r="F7" s="94"/>
      <c r="G7" s="71"/>
      <c r="H7" s="107"/>
      <c r="I7" s="128"/>
      <c r="J7" s="128"/>
      <c r="K7" s="108"/>
      <c r="L7" s="77"/>
      <c r="M7" s="34"/>
      <c r="N7" s="34"/>
      <c r="O7" s="34"/>
      <c r="P7" s="40"/>
      <c r="Q7" s="48"/>
      <c r="R7" s="48">
        <f t="shared" si="1"/>
        <v>0</v>
      </c>
      <c r="S7" s="48">
        <f t="shared" si="2"/>
        <v>0</v>
      </c>
      <c r="T7" s="23"/>
      <c r="U7" s="40"/>
      <c r="V7" s="26"/>
      <c r="W7" s="61"/>
      <c r="X7" s="37"/>
      <c r="Y7" s="37"/>
      <c r="Z7" s="69"/>
      <c r="AA7" s="69"/>
      <c r="AB7" s="59"/>
      <c r="AC7" s="59"/>
      <c r="AD7" s="59"/>
      <c r="AE7" s="59"/>
      <c r="AU7" s="23"/>
      <c r="AV7" s="34"/>
      <c r="AW7" s="234">
        <v>0</v>
      </c>
      <c r="BC7" s="23"/>
    </row>
    <row r="8" spans="1:55" x14ac:dyDescent="0.25">
      <c r="A8" s="7" t="s">
        <v>68</v>
      </c>
      <c r="B8" s="7" t="s">
        <v>71</v>
      </c>
      <c r="C8" s="32">
        <f t="shared" si="0"/>
        <v>4</v>
      </c>
      <c r="D8" s="8">
        <v>4</v>
      </c>
      <c r="E8" s="8">
        <v>0</v>
      </c>
      <c r="F8" s="94"/>
      <c r="G8" s="71"/>
      <c r="H8" s="107"/>
      <c r="I8" s="128"/>
      <c r="J8" s="128"/>
      <c r="K8" s="108"/>
      <c r="L8" s="77"/>
      <c r="M8" s="34"/>
      <c r="N8" s="34"/>
      <c r="O8" s="34"/>
      <c r="P8" s="40"/>
      <c r="Q8" s="48"/>
      <c r="R8" s="48">
        <f t="shared" si="1"/>
        <v>0</v>
      </c>
      <c r="S8" s="48">
        <f t="shared" si="2"/>
        <v>0</v>
      </c>
      <c r="T8" s="23"/>
      <c r="U8" s="40"/>
      <c r="V8" s="26"/>
      <c r="W8" s="61"/>
      <c r="X8" s="37"/>
      <c r="Y8" s="37"/>
      <c r="Z8" s="69"/>
      <c r="AA8" s="69"/>
      <c r="AB8" s="59"/>
      <c r="AC8" s="59"/>
      <c r="AD8" s="59"/>
      <c r="AE8" s="59"/>
      <c r="AU8" s="23"/>
      <c r="AV8" s="34"/>
      <c r="AW8" s="234">
        <v>0</v>
      </c>
      <c r="BC8" s="23"/>
    </row>
    <row r="9" spans="1:55" x14ac:dyDescent="0.25">
      <c r="A9" s="9" t="s">
        <v>68</v>
      </c>
      <c r="B9" s="9" t="s">
        <v>73</v>
      </c>
      <c r="C9" s="10">
        <f t="shared" si="0"/>
        <v>63</v>
      </c>
      <c r="D9" s="8">
        <v>63</v>
      </c>
      <c r="E9" s="8">
        <v>0</v>
      </c>
      <c r="F9" s="94">
        <v>603.5</v>
      </c>
      <c r="G9" s="71">
        <v>402.5</v>
      </c>
      <c r="H9" s="107">
        <f>F9/C9</f>
        <v>9.5793650793650791</v>
      </c>
      <c r="I9" s="128">
        <f>G9/C9</f>
        <v>6.3888888888888893</v>
      </c>
      <c r="J9" s="128">
        <f>H9/H$14</f>
        <v>0.21725411829694835</v>
      </c>
      <c r="K9" s="108">
        <f>I9/I14</f>
        <v>0.2534784725811613</v>
      </c>
      <c r="L9" s="77">
        <v>88262</v>
      </c>
      <c r="M9" s="34">
        <v>106231</v>
      </c>
      <c r="N9" s="34">
        <f>L9/C9</f>
        <v>1400.984126984127</v>
      </c>
      <c r="O9" s="34">
        <f>M9/C9</f>
        <v>1686.2063492063492</v>
      </c>
      <c r="P9" s="40">
        <f>N9/N$13</f>
        <v>0.22570379622589148</v>
      </c>
      <c r="Q9" s="48">
        <f>O9/O13</f>
        <v>0.3984345454958968</v>
      </c>
      <c r="R9" s="48">
        <f t="shared" si="1"/>
        <v>0.31146090174705549</v>
      </c>
      <c r="S9" s="48">
        <f t="shared" si="2"/>
        <v>0.22063398946852561</v>
      </c>
      <c r="T9" s="25">
        <v>0.6</v>
      </c>
      <c r="U9" s="73">
        <v>0.87</v>
      </c>
      <c r="V9" s="25">
        <f>(0.6*AU9)+(0.4*BC9)</f>
        <v>0.79405192800653546</v>
      </c>
      <c r="W9" s="67">
        <f>AA9*AI3</f>
        <v>214028.90432098418</v>
      </c>
      <c r="X9" s="67" t="e">
        <f>AB9*C9</f>
        <v>#VALUE!</v>
      </c>
      <c r="Y9" s="67">
        <f>AC9*AJ$3</f>
        <v>257106.32041214322</v>
      </c>
      <c r="Z9" s="70">
        <f>Y9-W9</f>
        <v>43077.416091159044</v>
      </c>
      <c r="AA9" s="70">
        <f>AD9*C9</f>
        <v>20.487804878048781</v>
      </c>
      <c r="AB9" s="59" t="e">
        <f>U9/AI2</f>
        <v>#VALUE!</v>
      </c>
      <c r="AC9" s="60">
        <f>AE9*C9</f>
        <v>24.091339799395708</v>
      </c>
      <c r="AD9" s="59">
        <f>T9/AK$2</f>
        <v>0.32520325203252032</v>
      </c>
      <c r="AE9" s="59">
        <f>V9/AL$2</f>
        <v>0.38240221903802712</v>
      </c>
      <c r="AM9">
        <v>1207</v>
      </c>
      <c r="AN9">
        <v>1223</v>
      </c>
      <c r="AO9">
        <f>AM9-AN9</f>
        <v>-16</v>
      </c>
      <c r="AP9">
        <v>213</v>
      </c>
      <c r="AQ9">
        <v>231</v>
      </c>
      <c r="AR9">
        <f t="shared" ref="AR9:AS11" si="5">AM9-AP9</f>
        <v>994</v>
      </c>
      <c r="AS9">
        <f t="shared" si="5"/>
        <v>992</v>
      </c>
      <c r="AT9" s="23">
        <v>0.55200000000000005</v>
      </c>
      <c r="AU9" s="23">
        <f>(AS9-AS$13)/AS$14</f>
        <v>0.58368727685735233</v>
      </c>
      <c r="AV9" s="34">
        <v>88262</v>
      </c>
      <c r="AW9" s="234">
        <v>76978</v>
      </c>
      <c r="AX9">
        <v>57980</v>
      </c>
      <c r="AY9">
        <v>32967</v>
      </c>
      <c r="AZ9">
        <f t="shared" si="4"/>
        <v>30282</v>
      </c>
      <c r="BA9" s="34">
        <f>AW9-AY9</f>
        <v>44011</v>
      </c>
      <c r="BB9">
        <v>0.67200000000000004</v>
      </c>
      <c r="BC9" s="23">
        <f>(BA9-BA$13)/BA$14</f>
        <v>1.1095989047303103</v>
      </c>
    </row>
    <row r="10" spans="1:55" x14ac:dyDescent="0.25">
      <c r="A10" s="9" t="s">
        <v>80</v>
      </c>
      <c r="B10" s="9" t="s">
        <v>81</v>
      </c>
      <c r="C10" s="10">
        <f t="shared" si="0"/>
        <v>123</v>
      </c>
      <c r="D10">
        <v>0</v>
      </c>
      <c r="E10">
        <v>123</v>
      </c>
      <c r="F10" s="106">
        <v>616</v>
      </c>
      <c r="G10" s="71">
        <v>335</v>
      </c>
      <c r="H10" s="128">
        <f>F10/C10</f>
        <v>5.0081300813008127</v>
      </c>
      <c r="I10" s="128">
        <f>G10/C10</f>
        <v>2.7235772357723578</v>
      </c>
      <c r="J10" s="128">
        <f>H10/H$14</f>
        <v>0.11358131526620421</v>
      </c>
      <c r="K10" s="129">
        <f>I10/I14</f>
        <v>0.10805763094127979</v>
      </c>
      <c r="L10" s="77"/>
      <c r="M10" s="34">
        <v>0</v>
      </c>
      <c r="N10" s="34">
        <f>L10/C10</f>
        <v>0</v>
      </c>
      <c r="O10" s="34"/>
      <c r="P10" s="40"/>
      <c r="Q10" s="48"/>
      <c r="R10" s="48">
        <f t="shared" si="1"/>
        <v>6.4834578564767875E-2</v>
      </c>
      <c r="S10" s="48">
        <f t="shared" si="2"/>
        <v>6.8148789159722528E-2</v>
      </c>
      <c r="T10" s="26">
        <v>-0.25900000000000001</v>
      </c>
      <c r="U10">
        <v>-1.1499999999999999</v>
      </c>
      <c r="V10" s="26">
        <f>(0.6*AU10)+(0.4*BC10)</f>
        <v>-0.44916710287095163</v>
      </c>
      <c r="W10" s="61"/>
      <c r="X10" s="37"/>
      <c r="Y10" s="37"/>
      <c r="Z10" s="37"/>
      <c r="AA10" s="37"/>
      <c r="AB10" s="59"/>
      <c r="AC10" s="59"/>
      <c r="AD10" s="59"/>
      <c r="AE10" s="59"/>
      <c r="AM10">
        <v>1232</v>
      </c>
      <c r="AN10">
        <v>1248</v>
      </c>
      <c r="AO10">
        <f>AM10-AN10</f>
        <v>-16</v>
      </c>
      <c r="AP10">
        <v>416</v>
      </c>
      <c r="AQ10">
        <v>452</v>
      </c>
      <c r="AR10">
        <f t="shared" si="5"/>
        <v>816</v>
      </c>
      <c r="AS10">
        <f t="shared" si="5"/>
        <v>796</v>
      </c>
      <c r="AT10" s="23">
        <v>0.151</v>
      </c>
      <c r="AU10" s="23">
        <f>(AS10-AS$13)/AS$14</f>
        <v>0.13534224904269102</v>
      </c>
      <c r="AV10" s="34">
        <v>0</v>
      </c>
      <c r="AW10" s="234">
        <v>7499</v>
      </c>
      <c r="AX10">
        <v>39462</v>
      </c>
      <c r="AY10">
        <v>60468</v>
      </c>
      <c r="AZ10">
        <f t="shared" si="4"/>
        <v>-39462</v>
      </c>
      <c r="BA10" s="34">
        <f>AW10-AY10</f>
        <v>-52969</v>
      </c>
      <c r="BB10">
        <v>-0.873</v>
      </c>
      <c r="BC10" s="23">
        <f>(BA10-BA$13)/BA$14</f>
        <v>-1.3259311307414157</v>
      </c>
    </row>
    <row r="11" spans="1:55" x14ac:dyDescent="0.25">
      <c r="A11" s="9" t="s">
        <v>80</v>
      </c>
      <c r="B11" s="9" t="s">
        <v>82</v>
      </c>
      <c r="C11" s="10">
        <f t="shared" si="0"/>
        <v>51</v>
      </c>
      <c r="D11">
        <v>0</v>
      </c>
      <c r="E11">
        <v>51</v>
      </c>
      <c r="F11" s="106">
        <v>121</v>
      </c>
      <c r="G11" s="71">
        <v>93</v>
      </c>
      <c r="H11" s="128">
        <f>F11/C11</f>
        <v>2.3725490196078431</v>
      </c>
      <c r="I11" s="128">
        <f>G11/C11</f>
        <v>1.8235294117647058</v>
      </c>
      <c r="J11" s="128">
        <f>H11/H$14</f>
        <v>5.3807955026321533E-2</v>
      </c>
      <c r="K11" s="129">
        <f>I11/I14</f>
        <v>7.2348331304495139E-2</v>
      </c>
      <c r="L11" s="77">
        <v>7499</v>
      </c>
      <c r="M11" s="34">
        <v>0</v>
      </c>
      <c r="N11" s="34">
        <f>L11/C11</f>
        <v>147.0392156862745</v>
      </c>
      <c r="O11" s="34"/>
      <c r="P11" s="40">
        <f>N11/N$13</f>
        <v>2.3688569010350977E-2</v>
      </c>
      <c r="Q11" s="40"/>
      <c r="R11" s="48">
        <f t="shared" si="1"/>
        <v>4.3408998782697085E-2</v>
      </c>
      <c r="S11" s="48">
        <f t="shared" si="2"/>
        <v>4.176020061993331E-2</v>
      </c>
      <c r="T11" s="26">
        <v>-1.431</v>
      </c>
      <c r="U11">
        <v>-0.68</v>
      </c>
      <c r="V11" s="26">
        <f>(0.6*AU11)+(0.4*BC11)</f>
        <v>-1.191037034668442</v>
      </c>
      <c r="W11" s="61"/>
      <c r="X11" s="37"/>
      <c r="Y11" s="37"/>
      <c r="Z11" s="37"/>
      <c r="AA11" s="37"/>
      <c r="AB11" s="59"/>
      <c r="AC11" s="59"/>
      <c r="AD11" s="59"/>
      <c r="AE11" s="59"/>
      <c r="AM11">
        <v>242</v>
      </c>
      <c r="AN11">
        <v>254</v>
      </c>
      <c r="AO11">
        <f>AM11-AN11</f>
        <v>-12</v>
      </c>
      <c r="AP11">
        <v>172</v>
      </c>
      <c r="AQ11">
        <v>187</v>
      </c>
      <c r="AR11">
        <f t="shared" si="5"/>
        <v>70</v>
      </c>
      <c r="AS11">
        <f t="shared" si="5"/>
        <v>67</v>
      </c>
      <c r="AT11" s="23">
        <v>-1.53</v>
      </c>
      <c r="AU11" s="23">
        <f>(AS11-AS$13)/AS$14</f>
        <v>-1.5322267574720441</v>
      </c>
      <c r="AV11" s="34">
        <v>7499</v>
      </c>
      <c r="AW11" s="234">
        <v>0</v>
      </c>
      <c r="AX11">
        <v>65472</v>
      </c>
      <c r="AY11">
        <v>27219</v>
      </c>
      <c r="AZ11">
        <f t="shared" si="4"/>
        <v>-57973</v>
      </c>
      <c r="BA11" s="34">
        <f>AW11-AY11</f>
        <v>-27219</v>
      </c>
      <c r="BB11">
        <v>-1.2829999999999999</v>
      </c>
      <c r="BC11" s="23">
        <f>(BA11-BA$13)/BA$14</f>
        <v>-0.67925245046303917</v>
      </c>
    </row>
    <row r="12" spans="1:55" x14ac:dyDescent="0.25">
      <c r="C12" s="1">
        <f>SUM(C3:C11)</f>
        <v>426</v>
      </c>
      <c r="D12" s="1">
        <f>SUM(D3:D11)</f>
        <v>252</v>
      </c>
      <c r="E12" s="1">
        <f>SUM(E3:E11)</f>
        <v>174</v>
      </c>
      <c r="F12" s="121">
        <f>SUM(F3:F11)</f>
        <v>2954</v>
      </c>
      <c r="G12" s="91">
        <f>SUM(G3:G11)</f>
        <v>1707</v>
      </c>
      <c r="H12" s="130">
        <f>F12/C12</f>
        <v>6.934272300469484</v>
      </c>
      <c r="I12" s="130">
        <f>G12/C12</f>
        <v>4.007042253521127</v>
      </c>
      <c r="J12" s="130">
        <f>SUM(J3:J11)</f>
        <v>1</v>
      </c>
      <c r="K12" s="131">
        <f>SUM(K3:K11)</f>
        <v>1</v>
      </c>
      <c r="L12" s="116">
        <f>SUM(L3:L11)</f>
        <v>352408</v>
      </c>
      <c r="M12" s="55">
        <f>SUM(M3:M11)</f>
        <v>328959</v>
      </c>
      <c r="N12" s="55">
        <f>L12/C12</f>
        <v>827.24882629107981</v>
      </c>
      <c r="O12" s="55">
        <f>M12/C12</f>
        <v>772.20422535211264</v>
      </c>
      <c r="P12" s="34"/>
      <c r="Q12" s="57">
        <f>SUM(Q3:Q11)</f>
        <v>1</v>
      </c>
      <c r="R12" s="82">
        <f>SUM(R3:R11)</f>
        <v>1.0000000000000002</v>
      </c>
      <c r="S12" s="82"/>
      <c r="T12" s="82"/>
      <c r="U12" s="57"/>
      <c r="V12" s="82"/>
      <c r="W12" s="67">
        <f>SUM(W3:W11)</f>
        <v>876669.18666714244</v>
      </c>
      <c r="X12" s="61" t="e">
        <f>SUM(X3:X11)</f>
        <v>#VALUE!</v>
      </c>
      <c r="Y12" s="61"/>
      <c r="Z12" s="61"/>
      <c r="AA12" s="61">
        <f>SUM(AA4:AA11)</f>
        <v>83.918699186991887</v>
      </c>
      <c r="AB12" s="65"/>
      <c r="AC12" s="60">
        <f>SUM(AC3:AC11)</f>
        <v>82.145531209821172</v>
      </c>
      <c r="AD12" s="65"/>
      <c r="AE12" s="65"/>
      <c r="AM12" s="1">
        <f>SUM(AM3:AM11)</f>
        <v>5908</v>
      </c>
      <c r="AN12" s="1">
        <f>SUM(AN3:AN11)</f>
        <v>5956</v>
      </c>
      <c r="AO12" s="1"/>
      <c r="AV12" s="55">
        <f>SUM(AV3:AV11)</f>
        <v>352408</v>
      </c>
      <c r="AW12" s="55">
        <f>SUM(AW3:AW11)</f>
        <v>214129.3</v>
      </c>
    </row>
    <row r="13" spans="1:55" x14ac:dyDescent="0.25">
      <c r="F13" s="106"/>
      <c r="G13" s="71"/>
      <c r="H13" s="91" t="s">
        <v>161</v>
      </c>
      <c r="I13" s="91" t="s">
        <v>161</v>
      </c>
      <c r="J13" s="91"/>
      <c r="K13" s="132"/>
      <c r="N13" s="56">
        <f>SUM(N3:N11)</f>
        <v>6207.1801644930147</v>
      </c>
      <c r="O13" s="56">
        <f>SUM(O3:O11)</f>
        <v>4232.0786896318814</v>
      </c>
      <c r="P13" s="56"/>
      <c r="Q13" s="40"/>
      <c r="AN13" s="163">
        <f>(AM12/AN12)*100</f>
        <v>99.194089993284081</v>
      </c>
      <c r="AR13" s="1" t="s">
        <v>353</v>
      </c>
      <c r="AS13">
        <f>AVERAGE(AS3:AS5,AS9:AS11)</f>
        <v>736.83333333333337</v>
      </c>
      <c r="AZ13" s="1" t="s">
        <v>319</v>
      </c>
      <c r="BA13" s="34">
        <f>AVERAGE(BA3:BA5,BA9:BA11)</f>
        <v>-171.94999999999951</v>
      </c>
    </row>
    <row r="14" spans="1:55" ht="19.5" thickBot="1" x14ac:dyDescent="0.35">
      <c r="A14" s="14"/>
      <c r="F14" s="124"/>
      <c r="G14" s="125"/>
      <c r="H14" s="133">
        <f>SUM(H3:H11)</f>
        <v>44.092904449671991</v>
      </c>
      <c r="I14" s="133">
        <f>SUM(I3:I11)</f>
        <v>25.204857926714979</v>
      </c>
      <c r="J14" s="133"/>
      <c r="K14" s="134"/>
      <c r="AR14" s="1" t="s">
        <v>316</v>
      </c>
      <c r="AS14">
        <f>STDEV(AS3:AS5,AS9:AS11)</f>
        <v>437.16331807079456</v>
      </c>
      <c r="AZ14" s="1" t="s">
        <v>316</v>
      </c>
      <c r="BA14">
        <f>STDEV(BA3:BA5,BA9:BA11)</f>
        <v>39818.847884262046</v>
      </c>
    </row>
    <row r="15" spans="1:55" ht="18.75" x14ac:dyDescent="0.3">
      <c r="A15" s="14"/>
    </row>
    <row r="16" spans="1:55" ht="18.75" x14ac:dyDescent="0.3">
      <c r="A16" s="14"/>
    </row>
    <row r="17" spans="1:1" ht="18.75" x14ac:dyDescent="0.3">
      <c r="A17" s="14"/>
    </row>
    <row r="18" spans="1:1" ht="18.75" x14ac:dyDescent="0.3">
      <c r="A18" s="14"/>
    </row>
    <row r="19" spans="1:1" ht="18.75" x14ac:dyDescent="0.3">
      <c r="A19" s="14"/>
    </row>
    <row r="20" spans="1:1" ht="18.75" x14ac:dyDescent="0.3">
      <c r="A20" s="14"/>
    </row>
    <row r="21" spans="1:1" ht="18.75" x14ac:dyDescent="0.3">
      <c r="A21" s="14"/>
    </row>
    <row r="22" spans="1:1" ht="18.75" x14ac:dyDescent="0.3">
      <c r="A22" s="14"/>
    </row>
    <row r="23" spans="1:1" ht="18.75" x14ac:dyDescent="0.3">
      <c r="A23" s="14"/>
    </row>
    <row r="24" spans="1:1" ht="18.75" x14ac:dyDescent="0.3">
      <c r="A24" s="14"/>
    </row>
    <row r="25" spans="1:1" ht="18.75" x14ac:dyDescent="0.3">
      <c r="A25" s="14"/>
    </row>
    <row r="26" spans="1:1" ht="18.75" x14ac:dyDescent="0.3">
      <c r="A26" s="14"/>
    </row>
    <row r="27" spans="1:1" ht="18.75" x14ac:dyDescent="0.3">
      <c r="A27" s="14"/>
    </row>
    <row r="28" spans="1:1" ht="18.75" x14ac:dyDescent="0.3">
      <c r="A28" s="14"/>
    </row>
    <row r="29" spans="1:1" ht="18.75" x14ac:dyDescent="0.3">
      <c r="A29" s="14"/>
    </row>
    <row r="30" spans="1:1" ht="18.75" x14ac:dyDescent="0.3">
      <c r="A30" s="14"/>
    </row>
    <row r="31" spans="1:1" ht="18.75" x14ac:dyDescent="0.3">
      <c r="A31" s="14"/>
    </row>
    <row r="32" spans="1:1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  <row r="37" spans="1:1" ht="18.75" x14ac:dyDescent="0.3">
      <c r="A37" s="14"/>
    </row>
    <row r="38" spans="1:1" ht="18.75" x14ac:dyDescent="0.3">
      <c r="A38" s="14"/>
    </row>
  </sheetData>
  <dataValidations disablePrompts="1" count="1">
    <dataValidation type="list" showInputMessage="1" showErrorMessage="1" sqref="D1:E1">
      <formula1>$A$14:$A$38</formula1>
    </dataValidation>
  </dataValidations>
  <pageMargins left="0.75" right="0.75" top="1" bottom="1" header="0.5" footer="0.5"/>
  <pageSetup paperSize="9" orientation="portrait" r:id="rId1"/>
  <ignoredErrors>
    <ignoredError sqref="I14 C3:C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101"/>
  <sheetViews>
    <sheetView zoomScaleNormal="100" workbookViewId="0">
      <pane ySplit="2" topLeftCell="A3" activePane="bottomLeft" state="frozen"/>
      <selection pane="bottomLeft" activeCell="AG5" sqref="AG5"/>
    </sheetView>
  </sheetViews>
  <sheetFormatPr defaultColWidth="8.7109375" defaultRowHeight="15" x14ac:dyDescent="0.25"/>
  <cols>
    <col min="1" max="1" width="43.7109375" customWidth="1"/>
    <col min="2" max="2" width="60.5703125" customWidth="1"/>
    <col min="3" max="3" width="9" style="1" customWidth="1"/>
    <col min="4" max="4" width="15.7109375" hidden="1" customWidth="1"/>
    <col min="5" max="5" width="17.5703125" hidden="1" customWidth="1"/>
    <col min="6" max="6" width="13.85546875" hidden="1" customWidth="1"/>
    <col min="7" max="7" width="12.85546875" hidden="1" customWidth="1"/>
    <col min="8" max="9" width="8.7109375" hidden="1" customWidth="1"/>
    <col min="10" max="10" width="12.7109375" hidden="1" customWidth="1"/>
    <col min="11" max="11" width="13.28515625" style="16" hidden="1" customWidth="1"/>
    <col min="12" max="12" width="16.42578125" hidden="1" customWidth="1"/>
    <col min="13" max="13" width="16.7109375" hidden="1" customWidth="1"/>
    <col min="14" max="14" width="19.7109375" hidden="1" customWidth="1"/>
    <col min="15" max="15" width="16.42578125" hidden="1" customWidth="1"/>
    <col min="16" max="16" width="11.42578125" hidden="1" customWidth="1"/>
    <col min="17" max="17" width="8.5703125" hidden="1" customWidth="1"/>
    <col min="18" max="18" width="15.28515625" hidden="1" customWidth="1"/>
    <col min="19" max="19" width="7.42578125" hidden="1" customWidth="1"/>
    <col min="20" max="20" width="15.28515625" hidden="1" customWidth="1"/>
    <col min="21" max="21" width="17.140625" hidden="1" customWidth="1"/>
    <col min="22" max="23" width="9.5703125" hidden="1" customWidth="1"/>
    <col min="24" max="24" width="8.7109375" hidden="1" customWidth="1"/>
    <col min="25" max="26" width="10.7109375" style="16" hidden="1" customWidth="1"/>
    <col min="27" max="27" width="15.140625" bestFit="1" customWidth="1"/>
    <col min="28" max="28" width="22.5703125" bestFit="1" customWidth="1"/>
    <col min="29" max="29" width="11.140625" bestFit="1" customWidth="1"/>
    <col min="30" max="30" width="8.7109375" hidden="1" customWidth="1"/>
    <col min="31" max="31" width="12.140625" hidden="1" customWidth="1"/>
    <col min="32" max="32" width="12.85546875" bestFit="1" customWidth="1"/>
    <col min="33" max="33" width="12.85546875" customWidth="1"/>
    <col min="34" max="34" width="11.140625" bestFit="1" customWidth="1"/>
    <col min="35" max="35" width="19.140625" bestFit="1" customWidth="1"/>
    <col min="36" max="36" width="13.28515625" bestFit="1" customWidth="1"/>
    <col min="37" max="37" width="0" hidden="1" customWidth="1"/>
    <col min="38" max="38" width="10.7109375" hidden="1" customWidth="1"/>
    <col min="39" max="39" width="13.5703125" customWidth="1"/>
    <col min="40" max="40" width="20.140625" style="16" bestFit="1" customWidth="1"/>
    <col min="41" max="41" width="10" bestFit="1" customWidth="1"/>
    <col min="42" max="42" width="11.140625" hidden="1" customWidth="1"/>
    <col min="43" max="43" width="8.7109375" hidden="1" customWidth="1"/>
    <col min="44" max="44" width="17.42578125" bestFit="1" customWidth="1"/>
    <col min="45" max="45" width="10" bestFit="1" customWidth="1"/>
    <col min="46" max="46" width="17.42578125" bestFit="1" customWidth="1"/>
    <col min="47" max="47" width="6.42578125" bestFit="1" customWidth="1"/>
    <col min="49" max="49" width="16.28515625" bestFit="1" customWidth="1"/>
    <col min="50" max="50" width="11.85546875" bestFit="1" customWidth="1"/>
    <col min="51" max="51" width="17" bestFit="1" customWidth="1"/>
    <col min="52" max="52" width="12.28515625" bestFit="1" customWidth="1"/>
    <col min="53" max="53" width="19.7109375" bestFit="1" customWidth="1"/>
    <col min="54" max="54" width="8.42578125" bestFit="1" customWidth="1"/>
    <col min="55" max="55" width="7.28515625" bestFit="1" customWidth="1"/>
    <col min="56" max="56" width="8" bestFit="1" customWidth="1"/>
    <col min="57" max="57" width="11.28515625" customWidth="1"/>
    <col min="58" max="58" width="6.28515625" bestFit="1" customWidth="1"/>
    <col min="59" max="59" width="13.5703125" bestFit="1" customWidth="1"/>
    <col min="60" max="60" width="9.5703125" bestFit="1" customWidth="1"/>
    <col min="61" max="61" width="16.85546875" bestFit="1" customWidth="1"/>
    <col min="63" max="63" width="15.85546875" bestFit="1" customWidth="1"/>
    <col min="64" max="64" width="11.85546875" bestFit="1" customWidth="1"/>
    <col min="65" max="65" width="16.5703125" bestFit="1" customWidth="1"/>
    <col min="66" max="66" width="6.85546875" bestFit="1" customWidth="1"/>
    <col min="67" max="67" width="14.7109375" bestFit="1" customWidth="1"/>
  </cols>
  <sheetData>
    <row r="1" spans="1:67" ht="45" x14ac:dyDescent="0.25">
      <c r="C1" s="2" t="s">
        <v>144</v>
      </c>
      <c r="D1" s="3" t="s">
        <v>5</v>
      </c>
      <c r="E1" s="4" t="s">
        <v>10</v>
      </c>
      <c r="F1" s="4" t="s">
        <v>11</v>
      </c>
      <c r="G1" s="4" t="s">
        <v>12</v>
      </c>
      <c r="H1" s="4" t="s">
        <v>26</v>
      </c>
      <c r="I1" s="4" t="s">
        <v>27</v>
      </c>
      <c r="J1" s="4" t="s">
        <v>28</v>
      </c>
      <c r="K1" s="22" t="s">
        <v>150</v>
      </c>
      <c r="L1" s="22" t="s">
        <v>150</v>
      </c>
      <c r="M1" s="22"/>
      <c r="N1" s="22"/>
      <c r="O1" s="21" t="s">
        <v>151</v>
      </c>
      <c r="P1" s="21"/>
      <c r="Q1" s="21"/>
      <c r="R1" s="21" t="s">
        <v>152</v>
      </c>
      <c r="S1" s="19"/>
      <c r="T1" s="43" t="s">
        <v>152</v>
      </c>
      <c r="U1" s="21" t="s">
        <v>153</v>
      </c>
      <c r="V1" s="21"/>
      <c r="W1" s="21"/>
      <c r="X1" s="21"/>
      <c r="AA1" s="119"/>
      <c r="AB1" s="119"/>
      <c r="AJ1" t="s">
        <v>163</v>
      </c>
      <c r="AK1" s="66">
        <v>0.1467</v>
      </c>
      <c r="AO1" s="247" t="s">
        <v>354</v>
      </c>
      <c r="AR1" s="247" t="s">
        <v>355</v>
      </c>
    </row>
    <row r="2" spans="1:67" x14ac:dyDescent="0.25">
      <c r="A2" s="5" t="s">
        <v>0</v>
      </c>
      <c r="B2" s="5" t="s">
        <v>1</v>
      </c>
      <c r="C2" s="6"/>
      <c r="K2" s="91" t="s">
        <v>193</v>
      </c>
      <c r="L2" s="91" t="s">
        <v>193</v>
      </c>
      <c r="M2" s="91" t="s">
        <v>202</v>
      </c>
      <c r="N2" s="93" t="s">
        <v>203</v>
      </c>
      <c r="O2" s="1" t="s">
        <v>201</v>
      </c>
      <c r="P2" s="17" t="s">
        <v>155</v>
      </c>
      <c r="Q2" s="17" t="s">
        <v>160</v>
      </c>
      <c r="R2" s="17" t="s">
        <v>149</v>
      </c>
      <c r="S2" s="18" t="s">
        <v>157</v>
      </c>
      <c r="T2" s="18" t="s">
        <v>149</v>
      </c>
      <c r="U2" s="17" t="s">
        <v>148</v>
      </c>
      <c r="V2" s="17" t="s">
        <v>155</v>
      </c>
      <c r="W2" s="17"/>
      <c r="X2" s="17" t="s">
        <v>157</v>
      </c>
      <c r="Y2" s="18" t="s">
        <v>154</v>
      </c>
      <c r="Z2" s="62" t="s">
        <v>169</v>
      </c>
      <c r="AA2" s="1" t="s">
        <v>175</v>
      </c>
      <c r="AB2" s="1" t="s">
        <v>261</v>
      </c>
      <c r="AC2" s="146" t="s">
        <v>158</v>
      </c>
      <c r="AD2" s="1" t="s">
        <v>167</v>
      </c>
      <c r="AE2" s="1" t="s">
        <v>168</v>
      </c>
      <c r="AF2" s="1" t="s">
        <v>262</v>
      </c>
      <c r="AG2" s="245" t="s">
        <v>344</v>
      </c>
      <c r="AH2" s="1" t="s">
        <v>182</v>
      </c>
      <c r="AI2" s="1" t="s">
        <v>323</v>
      </c>
      <c r="AJ2" s="140">
        <v>2946268.4786009672</v>
      </c>
      <c r="AK2" s="16">
        <v>0.62980000000000003</v>
      </c>
      <c r="AL2" s="52">
        <f>AK3/C75</f>
        <v>0</v>
      </c>
      <c r="AM2" s="39" t="s">
        <v>184</v>
      </c>
      <c r="AN2" s="62" t="s">
        <v>357</v>
      </c>
      <c r="AO2">
        <v>14.042999999999999</v>
      </c>
      <c r="AR2" s="23">
        <f>SUM(AB6,AB9,AB10,AB12,AB19,AB25,AB28,AB29,AB31,AB35,AB43,AB50,AB51,AB57,AB58,AB63,AB74)</f>
        <v>14.372451573079411</v>
      </c>
      <c r="AS2" s="1" t="s">
        <v>239</v>
      </c>
      <c r="AT2" s="1" t="s">
        <v>263</v>
      </c>
      <c r="AU2" s="1" t="s">
        <v>256</v>
      </c>
      <c r="AV2" s="1" t="s">
        <v>240</v>
      </c>
      <c r="AW2" s="1" t="s">
        <v>257</v>
      </c>
      <c r="AX2" s="1" t="s">
        <v>241</v>
      </c>
      <c r="AY2" s="1" t="s">
        <v>258</v>
      </c>
      <c r="AZ2" s="1" t="s">
        <v>242</v>
      </c>
      <c r="BA2" s="1" t="s">
        <v>259</v>
      </c>
      <c r="BB2" s="1" t="s">
        <v>247</v>
      </c>
      <c r="BC2" s="1" t="s">
        <v>248</v>
      </c>
      <c r="BD2" s="1" t="s">
        <v>250</v>
      </c>
      <c r="BE2" s="1" t="s">
        <v>249</v>
      </c>
      <c r="BF2" s="1" t="s">
        <v>251</v>
      </c>
      <c r="BG2" s="1" t="s">
        <v>335</v>
      </c>
      <c r="BH2" s="1" t="s">
        <v>243</v>
      </c>
      <c r="BI2" s="1" t="s">
        <v>328</v>
      </c>
      <c r="BJ2" s="1" t="s">
        <v>244</v>
      </c>
      <c r="BK2" s="1" t="s">
        <v>336</v>
      </c>
      <c r="BL2" s="1" t="s">
        <v>245</v>
      </c>
      <c r="BM2" s="1" t="s">
        <v>337</v>
      </c>
      <c r="BN2" s="1" t="s">
        <v>246</v>
      </c>
      <c r="BO2" s="1" t="s">
        <v>338</v>
      </c>
    </row>
    <row r="3" spans="1:67" x14ac:dyDescent="0.25">
      <c r="A3" s="7" t="s">
        <v>3</v>
      </c>
      <c r="B3" s="7" t="s">
        <v>4</v>
      </c>
      <c r="C3" s="1">
        <f t="shared" ref="C3:C34" si="0">SUM(D3:J3)</f>
        <v>124</v>
      </c>
      <c r="D3" s="8">
        <v>10</v>
      </c>
      <c r="E3" s="8">
        <v>0</v>
      </c>
      <c r="F3" s="8">
        <v>105</v>
      </c>
      <c r="G3" s="8">
        <v>6</v>
      </c>
      <c r="H3" s="8">
        <v>3</v>
      </c>
      <c r="I3">
        <v>0</v>
      </c>
      <c r="J3">
        <v>0</v>
      </c>
      <c r="L3">
        <v>22</v>
      </c>
      <c r="M3" s="23">
        <f t="shared" ref="M3:M34" si="1">L3/C3</f>
        <v>0.17741935483870969</v>
      </c>
      <c r="N3" s="23">
        <f>M3/M77</f>
        <v>2.750166114742401E-3</v>
      </c>
      <c r="O3">
        <v>100</v>
      </c>
      <c r="P3" s="23">
        <f t="shared" ref="P3:P34" si="2">O3/C3</f>
        <v>0.80645161290322576</v>
      </c>
      <c r="Q3" s="40">
        <f>P3/P77</f>
        <v>5.3968767463385692E-2</v>
      </c>
      <c r="R3" s="23">
        <f t="shared" ref="R3:R34" si="3">(0.75*M3)+(0.25*P3)</f>
        <v>0.33467741935483869</v>
      </c>
      <c r="S3" s="40">
        <f>R3/R77</f>
        <v>6.4212973159067004E-3</v>
      </c>
      <c r="T3" s="40">
        <f t="shared" ref="T3:T34" si="4">(0.75*N3)+(0.25*Q3)</f>
        <v>1.5554816451903224E-2</v>
      </c>
      <c r="U3" s="34">
        <v>42000</v>
      </c>
      <c r="V3" s="34">
        <f t="shared" ref="V3:V33" si="5">U3/C3</f>
        <v>338.70967741935482</v>
      </c>
      <c r="W3" s="34"/>
      <c r="X3" s="40">
        <f>V3/V77</f>
        <v>4.3495078379074889E-3</v>
      </c>
      <c r="Y3" s="48">
        <f t="shared" ref="Y3:Y34" si="6">(0.6*T3)+(0.4*X3)</f>
        <v>1.1072693006304929E-2</v>
      </c>
      <c r="Z3" s="48">
        <v>-0.94</v>
      </c>
      <c r="AA3" s="137">
        <v>-1.0999999999999999E-2</v>
      </c>
      <c r="AB3" s="137">
        <f t="shared" ref="AB3:AB13" si="7">(0.6*BG3)+(0.4*BO3)</f>
        <v>-9.0627098543281936E-3</v>
      </c>
      <c r="AC3" s="37"/>
      <c r="AD3" s="40"/>
      <c r="AE3" s="40"/>
      <c r="AF3" s="37"/>
      <c r="AG3" s="37"/>
      <c r="AH3" s="40"/>
      <c r="AI3" s="40"/>
      <c r="AK3" s="16"/>
      <c r="AL3" s="1" t="s">
        <v>2</v>
      </c>
      <c r="AM3" s="80">
        <f>AJ2/AH75</f>
        <v>59120.121178207744</v>
      </c>
      <c r="AN3" s="80">
        <f>AJ2/AI75</f>
        <v>60087.957038079971</v>
      </c>
      <c r="AS3">
        <v>109</v>
      </c>
      <c r="AT3">
        <v>109</v>
      </c>
      <c r="AU3">
        <f t="shared" ref="AU3:AU13" si="8">AS3-AT3</f>
        <v>0</v>
      </c>
      <c r="AV3">
        <v>281</v>
      </c>
      <c r="AW3" s="119">
        <v>282.68986000000001</v>
      </c>
      <c r="AX3">
        <f>AS3-AV3</f>
        <v>-172</v>
      </c>
      <c r="AY3" s="119">
        <f>AT3-AW3</f>
        <v>-173.68986000000001</v>
      </c>
      <c r="AZ3" s="23">
        <v>-1.6080000000000001</v>
      </c>
      <c r="BA3" s="23">
        <f>(AY3-AY$76)/AY$77</f>
        <v>-1.6131730690159634</v>
      </c>
      <c r="BB3" s="119">
        <v>204</v>
      </c>
      <c r="BC3" s="119">
        <v>40</v>
      </c>
      <c r="BD3" s="119">
        <f>BB3-BC3</f>
        <v>164</v>
      </c>
      <c r="BE3" s="23">
        <v>6.37</v>
      </c>
      <c r="BF3" s="23">
        <v>0.38600000000000001</v>
      </c>
      <c r="BG3" s="23">
        <f>(0.75*BA3)+(0.25*BE3)</f>
        <v>0.38262019823802751</v>
      </c>
      <c r="BH3" s="34">
        <v>126764</v>
      </c>
      <c r="BI3" s="77">
        <v>126764.36</v>
      </c>
      <c r="BJ3" s="34">
        <v>241033</v>
      </c>
      <c r="BK3" s="34">
        <v>228564.07</v>
      </c>
      <c r="BL3">
        <f>BH3-BJ3</f>
        <v>-114269</v>
      </c>
      <c r="BM3" s="34">
        <f>BI3-BK3</f>
        <v>-101799.71</v>
      </c>
      <c r="BN3" s="23">
        <v>-0.60799999999999998</v>
      </c>
      <c r="BO3" s="23">
        <f>(BM3-BM$76)/BM$77</f>
        <v>-0.59658707199286165</v>
      </c>
    </row>
    <row r="4" spans="1:67" x14ac:dyDescent="0.25">
      <c r="A4" s="9" t="s">
        <v>3</v>
      </c>
      <c r="B4" s="9" t="s">
        <v>30</v>
      </c>
      <c r="C4" s="1">
        <f t="shared" si="0"/>
        <v>143</v>
      </c>
      <c r="D4" s="8">
        <v>131</v>
      </c>
      <c r="E4" s="8">
        <v>12</v>
      </c>
      <c r="F4" s="8">
        <v>0</v>
      </c>
      <c r="G4" s="8">
        <v>0</v>
      </c>
      <c r="H4" s="8">
        <v>0</v>
      </c>
      <c r="I4">
        <v>0</v>
      </c>
      <c r="J4">
        <v>0</v>
      </c>
      <c r="L4">
        <v>45.5</v>
      </c>
      <c r="M4" s="23">
        <f t="shared" si="1"/>
        <v>0.31818181818181818</v>
      </c>
      <c r="N4" s="23">
        <f>M4/M77</f>
        <v>4.9321160900752149E-3</v>
      </c>
      <c r="O4">
        <v>21.5</v>
      </c>
      <c r="P4" s="23">
        <f t="shared" si="2"/>
        <v>0.15034965034965034</v>
      </c>
      <c r="Q4" s="40">
        <f>P4/P77</f>
        <v>1.0061589794222815E-2</v>
      </c>
      <c r="R4" s="23">
        <f t="shared" si="3"/>
        <v>0.27622377622377625</v>
      </c>
      <c r="S4" s="40">
        <f>R4/R77</f>
        <v>5.2997749184111598E-3</v>
      </c>
      <c r="T4" s="40">
        <f t="shared" si="4"/>
        <v>6.214484516112115E-3</v>
      </c>
      <c r="U4" s="34">
        <v>0</v>
      </c>
      <c r="V4" s="34">
        <f t="shared" si="5"/>
        <v>0</v>
      </c>
      <c r="W4" s="34"/>
      <c r="X4" s="40">
        <f>V4/V77</f>
        <v>0</v>
      </c>
      <c r="Y4" s="48">
        <f t="shared" si="6"/>
        <v>3.7286907096672687E-3</v>
      </c>
      <c r="Z4" s="48">
        <v>-1.3959999999999999</v>
      </c>
      <c r="AA4" s="137">
        <v>-1.6930000000000001</v>
      </c>
      <c r="AB4" s="137">
        <f t="shared" si="7"/>
        <v>-1.7244142362695696</v>
      </c>
      <c r="AC4" s="37"/>
      <c r="AD4" s="40"/>
      <c r="AE4" s="40"/>
      <c r="AF4" s="37"/>
      <c r="AG4" s="37"/>
      <c r="AH4" s="40"/>
      <c r="AI4" s="40"/>
      <c r="AJ4" s="39"/>
      <c r="AK4">
        <v>872</v>
      </c>
      <c r="AM4" s="1" t="s">
        <v>183</v>
      </c>
      <c r="AN4" s="62" t="s">
        <v>356</v>
      </c>
      <c r="AS4">
        <v>98</v>
      </c>
      <c r="AT4">
        <v>98</v>
      </c>
      <c r="AU4">
        <f t="shared" si="8"/>
        <v>0</v>
      </c>
      <c r="AV4">
        <v>324</v>
      </c>
      <c r="AW4" s="119">
        <v>326.00524000000001</v>
      </c>
      <c r="AX4">
        <f t="shared" ref="AX4:AY69" si="9">AS4-AV4</f>
        <v>-226</v>
      </c>
      <c r="AY4" s="119">
        <f t="shared" ref="AY4:AY25" si="10">AT4-AW4</f>
        <v>-228.00524000000001</v>
      </c>
      <c r="AZ4" s="23">
        <v>-2.0910000000000002</v>
      </c>
      <c r="BA4" s="23">
        <f t="shared" ref="BA4:BA25" si="11">(AY4-AY$76)/AY$77</f>
        <v>-2.0974647501423944</v>
      </c>
      <c r="BB4" s="119">
        <v>23</v>
      </c>
      <c r="BC4" s="119">
        <v>46</v>
      </c>
      <c r="BD4" s="119">
        <f t="shared" ref="BD4:BD67" si="12">BB4-BC4</f>
        <v>-23</v>
      </c>
      <c r="BE4" s="23">
        <v>-1.0780000000000001</v>
      </c>
      <c r="BF4" s="23">
        <v>-1.8380000000000001</v>
      </c>
      <c r="BG4" s="23">
        <f t="shared" ref="BG4:BG25" si="13">(0.75*BA4)+(0.25*BE4)</f>
        <v>-1.8425985626067958</v>
      </c>
      <c r="BH4" s="34">
        <v>0</v>
      </c>
      <c r="BI4" s="77">
        <v>0</v>
      </c>
      <c r="BJ4" s="34">
        <v>273977</v>
      </c>
      <c r="BK4" s="34">
        <v>260754.72</v>
      </c>
      <c r="BL4">
        <f t="shared" ref="BL4:BM69" si="14">BH4-BJ4</f>
        <v>-273977</v>
      </c>
      <c r="BM4" s="34">
        <f t="shared" ref="BM4:BM25" si="15">BI4-BK4</f>
        <v>-260754.72</v>
      </c>
      <c r="BN4" s="23">
        <v>-1.4750000000000001</v>
      </c>
      <c r="BO4" s="23">
        <f t="shared" ref="BO4:BO25" si="16">(BM4-BM$76)/BM$77</f>
        <v>-1.5471377467637299</v>
      </c>
    </row>
    <row r="5" spans="1:67" x14ac:dyDescent="0.25">
      <c r="A5" s="9" t="s">
        <v>3</v>
      </c>
      <c r="B5" s="9" t="s">
        <v>31</v>
      </c>
      <c r="C5" s="1">
        <f t="shared" si="0"/>
        <v>88</v>
      </c>
      <c r="D5" s="8">
        <v>14</v>
      </c>
      <c r="E5" s="8">
        <v>74</v>
      </c>
      <c r="F5" s="8">
        <v>0</v>
      </c>
      <c r="G5" s="8">
        <v>0</v>
      </c>
      <c r="H5" s="8">
        <v>0</v>
      </c>
      <c r="I5">
        <v>0</v>
      </c>
      <c r="J5">
        <v>0</v>
      </c>
      <c r="L5">
        <v>41</v>
      </c>
      <c r="M5" s="23">
        <f t="shared" si="1"/>
        <v>0.46590909090909088</v>
      </c>
      <c r="N5" s="23">
        <f>M5/M77</f>
        <v>7.2220271318958499E-3</v>
      </c>
      <c r="O5">
        <v>8.5</v>
      </c>
      <c r="P5" s="23">
        <f t="shared" si="2"/>
        <v>9.6590909090909088E-2</v>
      </c>
      <c r="Q5" s="40">
        <f>P5/P77</f>
        <v>6.4639864666373318E-3</v>
      </c>
      <c r="R5" s="23">
        <f t="shared" si="3"/>
        <v>0.37357954545454547</v>
      </c>
      <c r="S5" s="40">
        <f>R5/R77</f>
        <v>7.1676940055568645E-3</v>
      </c>
      <c r="T5" s="40">
        <f t="shared" si="4"/>
        <v>7.03251696558122E-3</v>
      </c>
      <c r="U5" s="34">
        <v>270290</v>
      </c>
      <c r="V5" s="72">
        <f t="shared" si="5"/>
        <v>3071.4772727272725</v>
      </c>
      <c r="W5" s="72"/>
      <c r="X5" s="40">
        <f>V5/V77</f>
        <v>3.9442080821156349E-2</v>
      </c>
      <c r="Y5" s="47">
        <f t="shared" si="6"/>
        <v>1.9996342507811272E-2</v>
      </c>
      <c r="Z5" s="47">
        <v>0.36199999999999999</v>
      </c>
      <c r="AA5" s="139">
        <v>0.53400000000000003</v>
      </c>
      <c r="AB5" s="248">
        <f t="shared" si="7"/>
        <v>-0.32036824070621078</v>
      </c>
      <c r="AC5" s="67">
        <f>AH5*AM3</f>
        <v>197833.27881551936</v>
      </c>
      <c r="AD5" s="40">
        <f>C5*AK5</f>
        <v>0</v>
      </c>
      <c r="AE5" s="40" t="e">
        <f>C5*AL5</f>
        <v>#REF!</v>
      </c>
      <c r="AF5" s="37">
        <v>0</v>
      </c>
      <c r="AG5" s="37">
        <f>AF5-AC5</f>
        <v>-197833.27881551936</v>
      </c>
      <c r="AH5" s="23">
        <f>C5*AM5</f>
        <v>3.3462935270241401</v>
      </c>
      <c r="AI5" s="23"/>
      <c r="AJ5" s="23">
        <f>AC5/C5</f>
        <v>2248.1054410854472</v>
      </c>
      <c r="AK5" s="23"/>
      <c r="AL5" s="23" t="e">
        <f>Z5/#REF!</f>
        <v>#REF!</v>
      </c>
      <c r="AM5" s="23">
        <f>AA5/AO$2</f>
        <v>3.8026062807092503E-2</v>
      </c>
      <c r="AN5" s="26"/>
      <c r="AS5">
        <v>126</v>
      </c>
      <c r="AT5">
        <v>125</v>
      </c>
      <c r="AU5">
        <f t="shared" si="8"/>
        <v>1</v>
      </c>
      <c r="AV5">
        <v>199</v>
      </c>
      <c r="AW5" s="119">
        <v>200.61860999999999</v>
      </c>
      <c r="AX5">
        <f t="shared" si="9"/>
        <v>-73</v>
      </c>
      <c r="AY5" s="119">
        <f t="shared" si="10"/>
        <v>-75.61860999999999</v>
      </c>
      <c r="AZ5" s="23">
        <v>-0.72399999999999998</v>
      </c>
      <c r="BA5" s="23">
        <f t="shared" si="11"/>
        <v>-0.73874136048938199</v>
      </c>
      <c r="BB5" s="119">
        <v>20</v>
      </c>
      <c r="BC5" s="119">
        <v>28</v>
      </c>
      <c r="BD5" s="119">
        <f t="shared" si="12"/>
        <v>-8</v>
      </c>
      <c r="BE5" s="23">
        <v>-0.48099999999999998</v>
      </c>
      <c r="BF5" s="23">
        <v>-0.66300000000000003</v>
      </c>
      <c r="BG5" s="23">
        <f t="shared" si="13"/>
        <v>-0.67430602036703646</v>
      </c>
      <c r="BH5" s="34">
        <v>603938</v>
      </c>
      <c r="BI5" s="77">
        <v>199647.05</v>
      </c>
      <c r="BJ5" s="34">
        <v>177107</v>
      </c>
      <c r="BK5" s="34">
        <v>166475.9</v>
      </c>
      <c r="BL5">
        <f t="shared" si="14"/>
        <v>426831</v>
      </c>
      <c r="BM5" s="34">
        <f t="shared" si="15"/>
        <v>33171.149999999994</v>
      </c>
      <c r="BN5" s="23">
        <v>2.3290000000000002</v>
      </c>
      <c r="BO5" s="23">
        <f t="shared" si="16"/>
        <v>0.21053842878502771</v>
      </c>
    </row>
    <row r="6" spans="1:67" x14ac:dyDescent="0.25">
      <c r="A6" s="9" t="s">
        <v>3</v>
      </c>
      <c r="B6" s="9" t="s">
        <v>33</v>
      </c>
      <c r="C6" s="1">
        <f t="shared" si="0"/>
        <v>76</v>
      </c>
      <c r="D6" s="8">
        <v>0</v>
      </c>
      <c r="E6" s="8">
        <v>2</v>
      </c>
      <c r="F6" s="8">
        <v>1</v>
      </c>
      <c r="G6" s="8">
        <v>73</v>
      </c>
      <c r="H6" s="8">
        <v>0</v>
      </c>
      <c r="I6">
        <v>0</v>
      </c>
      <c r="J6">
        <v>0</v>
      </c>
      <c r="L6">
        <v>101</v>
      </c>
      <c r="M6" s="25">
        <f t="shared" si="1"/>
        <v>1.3289473684210527</v>
      </c>
      <c r="N6" s="23">
        <f>M6/M77</f>
        <v>2.0599928481479565E-2</v>
      </c>
      <c r="O6">
        <v>18</v>
      </c>
      <c r="P6" s="23">
        <f t="shared" si="2"/>
        <v>0.23684210526315788</v>
      </c>
      <c r="Q6" s="40">
        <f>P6/P77</f>
        <v>1.5849774865562747E-2</v>
      </c>
      <c r="R6" s="23">
        <f t="shared" si="3"/>
        <v>1.055921052631579</v>
      </c>
      <c r="S6" s="42">
        <f>R6/R77</f>
        <v>2.0259457701517943E-2</v>
      </c>
      <c r="T6" s="42">
        <f t="shared" si="4"/>
        <v>1.9412390077500358E-2</v>
      </c>
      <c r="U6" s="34">
        <v>83924</v>
      </c>
      <c r="V6" s="72">
        <f t="shared" si="5"/>
        <v>1104.2631578947369</v>
      </c>
      <c r="W6" s="72"/>
      <c r="X6" s="40">
        <f>V6/V77</f>
        <v>1.4180289435394726E-2</v>
      </c>
      <c r="Y6" s="47">
        <f t="shared" si="6"/>
        <v>1.7319549820658107E-2</v>
      </c>
      <c r="Z6" s="47">
        <v>0.48799999999999999</v>
      </c>
      <c r="AA6" s="139">
        <v>1.7889999999999999</v>
      </c>
      <c r="AB6" s="139">
        <f t="shared" si="7"/>
        <v>1.8500471476145499</v>
      </c>
      <c r="AC6" s="67">
        <f>AH6*AM3</f>
        <v>572399.64080850512</v>
      </c>
      <c r="AD6" s="40">
        <f>C6*AK6</f>
        <v>0</v>
      </c>
      <c r="AE6" s="40" t="e">
        <f>C6*AL6</f>
        <v>#REF!</v>
      </c>
      <c r="AF6" s="37">
        <f>AI6*AN$3</f>
        <v>587831.66009551694</v>
      </c>
      <c r="AG6" s="37">
        <f>AF6-AC6</f>
        <v>15432.019287011819</v>
      </c>
      <c r="AH6" s="23">
        <f>C6*AM6</f>
        <v>9.6819767855871248</v>
      </c>
      <c r="AI6" s="23">
        <f>C6*AN6</f>
        <v>9.7828531551336688</v>
      </c>
      <c r="AJ6" s="23"/>
      <c r="AK6" s="23"/>
      <c r="AL6" s="23" t="e">
        <f>Z6/#REF!</f>
        <v>#REF!</v>
      </c>
      <c r="AM6" s="23">
        <f>AA6/AO$2</f>
        <v>0.12739443138930429</v>
      </c>
      <c r="AN6" s="26">
        <f>AB6/AR$2</f>
        <v>0.12872175204123248</v>
      </c>
      <c r="AS6">
        <v>572</v>
      </c>
      <c r="AT6">
        <v>579</v>
      </c>
      <c r="AU6">
        <f t="shared" si="8"/>
        <v>-7</v>
      </c>
      <c r="AV6">
        <v>172</v>
      </c>
      <c r="AW6" s="119">
        <v>173.26152999999999</v>
      </c>
      <c r="AX6">
        <f t="shared" si="9"/>
        <v>400</v>
      </c>
      <c r="AY6" s="119">
        <f t="shared" si="10"/>
        <v>405.73847000000001</v>
      </c>
      <c r="AZ6" s="23">
        <v>3.5019999999999998</v>
      </c>
      <c r="BA6" s="23">
        <f t="shared" si="11"/>
        <v>3.5531779724014121</v>
      </c>
      <c r="BB6" s="119">
        <v>38</v>
      </c>
      <c r="BC6" s="119">
        <v>24</v>
      </c>
      <c r="BD6" s="119">
        <f t="shared" si="12"/>
        <v>14</v>
      </c>
      <c r="BE6" s="23">
        <v>0.39500000000000002</v>
      </c>
      <c r="BF6" s="23">
        <v>2.726</v>
      </c>
      <c r="BG6" s="23">
        <f t="shared" si="13"/>
        <v>2.7636334793010588</v>
      </c>
      <c r="BH6" s="34">
        <v>223557</v>
      </c>
      <c r="BI6" s="77">
        <v>223556.28</v>
      </c>
      <c r="BJ6" s="34">
        <v>155246</v>
      </c>
      <c r="BK6" s="34">
        <v>145380.23000000001</v>
      </c>
      <c r="BL6">
        <f t="shared" si="14"/>
        <v>68311</v>
      </c>
      <c r="BM6" s="34">
        <f t="shared" si="15"/>
        <v>78176.049999999988</v>
      </c>
      <c r="BN6" s="23">
        <v>0.38300000000000001</v>
      </c>
      <c r="BO6" s="23">
        <f t="shared" si="16"/>
        <v>0.47966765008478696</v>
      </c>
    </row>
    <row r="7" spans="1:67" x14ac:dyDescent="0.25">
      <c r="A7" s="9" t="s">
        <v>3</v>
      </c>
      <c r="B7" s="9" t="s">
        <v>34</v>
      </c>
      <c r="C7" s="1">
        <f t="shared" si="0"/>
        <v>20</v>
      </c>
      <c r="D7" s="8">
        <v>13</v>
      </c>
      <c r="E7" s="8">
        <v>0</v>
      </c>
      <c r="F7" s="8">
        <v>0</v>
      </c>
      <c r="G7" s="8">
        <v>0</v>
      </c>
      <c r="H7" s="8">
        <v>7</v>
      </c>
      <c r="I7">
        <v>0</v>
      </c>
      <c r="J7">
        <v>0</v>
      </c>
      <c r="L7">
        <v>29</v>
      </c>
      <c r="M7" s="25">
        <f t="shared" si="1"/>
        <v>1.45</v>
      </c>
      <c r="N7" s="23">
        <f>M7/M77</f>
        <v>2.2476357610485623E-2</v>
      </c>
      <c r="O7">
        <v>0.5</v>
      </c>
      <c r="P7" s="23">
        <f t="shared" si="2"/>
        <v>2.5000000000000001E-2</v>
      </c>
      <c r="Q7" s="40">
        <f>P7/P77</f>
        <v>1.6730317913649566E-3</v>
      </c>
      <c r="R7" s="23">
        <f t="shared" si="3"/>
        <v>1.09375</v>
      </c>
      <c r="S7" s="42">
        <f>R7/R77</f>
        <v>2.0985263818550513E-2</v>
      </c>
      <c r="T7" s="42">
        <f t="shared" si="4"/>
        <v>1.7275526155705455E-2</v>
      </c>
      <c r="U7" s="34">
        <v>0</v>
      </c>
      <c r="V7" s="34">
        <f t="shared" si="5"/>
        <v>0</v>
      </c>
      <c r="W7" s="34"/>
      <c r="X7" s="40">
        <f>V7/V77</f>
        <v>0</v>
      </c>
      <c r="Y7" s="48">
        <f t="shared" si="6"/>
        <v>1.0365315693423272E-2</v>
      </c>
      <c r="Z7" s="48">
        <v>-0.48599999999999999</v>
      </c>
      <c r="AA7" s="137">
        <v>1.4E-2</v>
      </c>
      <c r="AB7" s="137">
        <f t="shared" si="7"/>
        <v>2.2682455420087372E-2</v>
      </c>
      <c r="AC7" s="61"/>
      <c r="AD7" s="40"/>
      <c r="AE7" s="40"/>
      <c r="AF7" s="37"/>
      <c r="AG7" s="37"/>
      <c r="AH7" s="23"/>
      <c r="AI7" s="23"/>
      <c r="AJ7" s="23"/>
      <c r="AK7" s="23"/>
      <c r="AL7" s="23"/>
      <c r="AM7" s="23"/>
      <c r="AN7" s="26"/>
      <c r="AS7">
        <v>94</v>
      </c>
      <c r="AT7">
        <v>96</v>
      </c>
      <c r="AU7">
        <f t="shared" si="8"/>
        <v>-2</v>
      </c>
      <c r="AV7">
        <v>45</v>
      </c>
      <c r="AW7" s="119">
        <v>45.595140000000001</v>
      </c>
      <c r="AX7">
        <f t="shared" si="9"/>
        <v>49</v>
      </c>
      <c r="AY7" s="119">
        <f t="shared" si="10"/>
        <v>50.404859999999999</v>
      </c>
      <c r="AZ7" s="23">
        <v>0.36599999999999999</v>
      </c>
      <c r="BA7" s="23">
        <f t="shared" si="11"/>
        <v>0.38492044851731838</v>
      </c>
      <c r="BB7" s="119">
        <v>1</v>
      </c>
      <c r="BC7" s="119">
        <v>6</v>
      </c>
      <c r="BD7" s="119">
        <f t="shared" si="12"/>
        <v>-5</v>
      </c>
      <c r="BE7" s="23">
        <v>-0.36099999999999999</v>
      </c>
      <c r="BF7" s="23">
        <v>0.184</v>
      </c>
      <c r="BG7" s="23">
        <f t="shared" si="13"/>
        <v>0.1984403363879888</v>
      </c>
      <c r="BH7" s="34">
        <v>0</v>
      </c>
      <c r="BI7" s="77">
        <v>0</v>
      </c>
      <c r="BJ7" s="34">
        <v>46774</v>
      </c>
      <c r="BK7" s="34">
        <v>42329.34</v>
      </c>
      <c r="BL7">
        <f t="shared" si="14"/>
        <v>-46774</v>
      </c>
      <c r="BM7" s="34">
        <f t="shared" si="15"/>
        <v>-42329.34</v>
      </c>
      <c r="BN7" s="23">
        <v>-0.24099999999999999</v>
      </c>
      <c r="BO7" s="23">
        <f t="shared" si="16"/>
        <v>-0.24095436603176473</v>
      </c>
    </row>
    <row r="8" spans="1:67" x14ac:dyDescent="0.25">
      <c r="A8" s="9" t="s">
        <v>3</v>
      </c>
      <c r="B8" s="9" t="s">
        <v>36</v>
      </c>
      <c r="C8" s="1">
        <f t="shared" si="0"/>
        <v>6</v>
      </c>
      <c r="D8" s="8">
        <v>0</v>
      </c>
      <c r="E8" s="8">
        <v>0</v>
      </c>
      <c r="F8" s="8">
        <v>0</v>
      </c>
      <c r="G8" s="8">
        <v>0</v>
      </c>
      <c r="H8" s="8">
        <v>6</v>
      </c>
      <c r="I8">
        <v>0</v>
      </c>
      <c r="J8">
        <v>0</v>
      </c>
      <c r="L8">
        <v>14.5</v>
      </c>
      <c r="M8" s="25">
        <f t="shared" si="1"/>
        <v>2.4166666666666665</v>
      </c>
      <c r="N8" s="23">
        <f>M8/M77</f>
        <v>3.7460596017476033E-2</v>
      </c>
      <c r="O8">
        <v>4.5</v>
      </c>
      <c r="P8" s="23">
        <f t="shared" si="2"/>
        <v>0.75</v>
      </c>
      <c r="Q8" s="40">
        <f>P8/P77</f>
        <v>5.0190953740948695E-2</v>
      </c>
      <c r="R8" s="23">
        <f t="shared" si="3"/>
        <v>2</v>
      </c>
      <c r="S8" s="42">
        <f>R8/R77</f>
        <v>3.8373053839635227E-2</v>
      </c>
      <c r="T8" s="42">
        <f t="shared" si="4"/>
        <v>4.06431854483442E-2</v>
      </c>
      <c r="U8" s="34">
        <v>0</v>
      </c>
      <c r="V8" s="34">
        <f t="shared" si="5"/>
        <v>0</v>
      </c>
      <c r="W8" s="34"/>
      <c r="X8" s="40">
        <f>V8/V77</f>
        <v>0</v>
      </c>
      <c r="Y8" s="47">
        <f t="shared" si="6"/>
        <v>2.4385911269006518E-2</v>
      </c>
      <c r="Z8" s="48">
        <v>-0.36899999999999999</v>
      </c>
      <c r="AA8" s="137">
        <v>2.5000000000000001E-2</v>
      </c>
      <c r="AB8" s="137">
        <f t="shared" si="7"/>
        <v>2.5902176103215446E-2</v>
      </c>
      <c r="AC8" s="70"/>
      <c r="AD8" s="40">
        <f>C8*AK8</f>
        <v>0</v>
      </c>
      <c r="AE8" s="40"/>
      <c r="AF8" s="37"/>
      <c r="AG8" s="37"/>
      <c r="AH8" s="23"/>
      <c r="AI8" s="23"/>
      <c r="AJ8" s="23"/>
      <c r="AK8" s="23"/>
      <c r="AL8" s="23"/>
      <c r="AM8" s="23"/>
      <c r="AN8" s="26"/>
      <c r="AS8">
        <v>43</v>
      </c>
      <c r="AT8">
        <v>42</v>
      </c>
      <c r="AU8">
        <f t="shared" si="8"/>
        <v>1</v>
      </c>
      <c r="AV8">
        <v>14</v>
      </c>
      <c r="AW8" s="119">
        <v>13.67854</v>
      </c>
      <c r="AX8">
        <f t="shared" si="9"/>
        <v>29</v>
      </c>
      <c r="AY8" s="119">
        <f t="shared" si="10"/>
        <v>28.321460000000002</v>
      </c>
      <c r="AZ8" s="23">
        <v>0.188</v>
      </c>
      <c r="BA8" s="23">
        <f t="shared" si="11"/>
        <v>0.18801844928639283</v>
      </c>
      <c r="BB8" s="119">
        <v>1</v>
      </c>
      <c r="BC8" s="119">
        <v>2</v>
      </c>
      <c r="BD8" s="119">
        <f t="shared" si="12"/>
        <v>-1</v>
      </c>
      <c r="BE8" s="23">
        <v>-0.20200000000000001</v>
      </c>
      <c r="BF8" s="23">
        <v>0.09</v>
      </c>
      <c r="BG8" s="23">
        <f t="shared" si="13"/>
        <v>9.0513836964794633E-2</v>
      </c>
      <c r="BH8" s="34">
        <v>0</v>
      </c>
      <c r="BI8" s="77">
        <v>0</v>
      </c>
      <c r="BJ8" s="34">
        <v>15854</v>
      </c>
      <c r="BK8" s="34">
        <v>13911.43</v>
      </c>
      <c r="BL8">
        <f t="shared" si="14"/>
        <v>-15854</v>
      </c>
      <c r="BM8" s="34">
        <f t="shared" si="15"/>
        <v>-13911.43</v>
      </c>
      <c r="BN8" s="23">
        <v>-7.3999999999999996E-2</v>
      </c>
      <c r="BO8" s="23">
        <f t="shared" si="16"/>
        <v>-7.1015315189153327E-2</v>
      </c>
    </row>
    <row r="9" spans="1:67" x14ac:dyDescent="0.25">
      <c r="A9" s="7" t="s">
        <v>3</v>
      </c>
      <c r="B9" s="7" t="s">
        <v>37</v>
      </c>
      <c r="C9" s="1">
        <f t="shared" si="0"/>
        <v>18</v>
      </c>
      <c r="D9" s="8">
        <v>0</v>
      </c>
      <c r="E9" s="8">
        <v>0</v>
      </c>
      <c r="F9" s="8">
        <v>0</v>
      </c>
      <c r="G9" s="8">
        <v>0</v>
      </c>
      <c r="H9" s="8">
        <v>18</v>
      </c>
      <c r="I9">
        <v>0</v>
      </c>
      <c r="J9">
        <v>0</v>
      </c>
      <c r="L9">
        <v>98</v>
      </c>
      <c r="M9" s="25">
        <f t="shared" si="1"/>
        <v>5.4444444444444446</v>
      </c>
      <c r="N9" s="23">
        <f>M9/M77</f>
        <v>8.4393986430175899E-2</v>
      </c>
      <c r="O9">
        <v>6</v>
      </c>
      <c r="P9" s="23">
        <f t="shared" si="2"/>
        <v>0.33333333333333331</v>
      </c>
      <c r="Q9" s="40">
        <f>P9/P77</f>
        <v>2.2307090551532752E-2</v>
      </c>
      <c r="R9" s="23">
        <f t="shared" si="3"/>
        <v>4.166666666666667</v>
      </c>
      <c r="S9" s="42">
        <f>R9/R77</f>
        <v>7.9943862165906723E-2</v>
      </c>
      <c r="T9" s="42">
        <f t="shared" si="4"/>
        <v>6.8872262460515102E-2</v>
      </c>
      <c r="U9" s="34">
        <v>79552</v>
      </c>
      <c r="V9" s="72">
        <f t="shared" si="5"/>
        <v>4419.5555555555557</v>
      </c>
      <c r="W9" s="72"/>
      <c r="X9" s="40">
        <f>V9/V77</f>
        <v>5.675329879977626E-2</v>
      </c>
      <c r="Y9" s="47">
        <f t="shared" si="6"/>
        <v>6.4024676996219568E-2</v>
      </c>
      <c r="Z9" s="47">
        <v>0.70199999999999996</v>
      </c>
      <c r="AA9" s="139">
        <v>0.746</v>
      </c>
      <c r="AB9" s="139">
        <f t="shared" si="7"/>
        <v>0.76575335134668887</v>
      </c>
      <c r="AC9" s="67">
        <f>AH9*AM3</f>
        <v>56531.010979204846</v>
      </c>
      <c r="AD9" s="40">
        <f>C9*AK9</f>
        <v>0</v>
      </c>
      <c r="AE9" s="40" t="e">
        <f>C9*AL9</f>
        <v>#REF!</v>
      </c>
      <c r="AF9" s="37">
        <f>AI9*AN$3</f>
        <v>57625.936423126652</v>
      </c>
      <c r="AG9" s="37">
        <f>AF9-AC9</f>
        <v>1094.9254439218057</v>
      </c>
      <c r="AH9" s="23">
        <f>C9*AM9</f>
        <v>0.95620593890194416</v>
      </c>
      <c r="AI9" s="23">
        <f>C9*AN9</f>
        <v>0.95902638837607601</v>
      </c>
      <c r="AJ9" s="23"/>
      <c r="AK9" s="23"/>
      <c r="AL9" s="23" t="e">
        <f>Z9/#REF!</f>
        <v>#REF!</v>
      </c>
      <c r="AM9" s="23">
        <f>AA9/AO$2</f>
        <v>5.3122552161219118E-2</v>
      </c>
      <c r="AN9" s="26">
        <f>AB9/AR$2</f>
        <v>5.327924379867089E-2</v>
      </c>
      <c r="AP9" s="37">
        <v>4410034.2724348782</v>
      </c>
      <c r="AS9">
        <v>209</v>
      </c>
      <c r="AT9">
        <v>209</v>
      </c>
      <c r="AU9">
        <f t="shared" si="8"/>
        <v>0</v>
      </c>
      <c r="AV9">
        <v>41</v>
      </c>
      <c r="AW9" s="119">
        <v>41.035629999999998</v>
      </c>
      <c r="AX9">
        <f t="shared" si="9"/>
        <v>168</v>
      </c>
      <c r="AY9" s="119">
        <f t="shared" si="10"/>
        <v>167.96437</v>
      </c>
      <c r="AZ9" s="23">
        <v>1.43</v>
      </c>
      <c r="BA9" s="23">
        <f t="shared" si="11"/>
        <v>1.4331151353684364</v>
      </c>
      <c r="BB9" s="119">
        <v>13</v>
      </c>
      <c r="BC9" s="119">
        <v>6</v>
      </c>
      <c r="BD9" s="119">
        <f t="shared" si="12"/>
        <v>7</v>
      </c>
      <c r="BE9" s="23">
        <v>0.11700000000000001</v>
      </c>
      <c r="BF9" s="23">
        <v>1.101</v>
      </c>
      <c r="BG9" s="23">
        <f t="shared" si="13"/>
        <v>1.1040863515263273</v>
      </c>
      <c r="BH9" s="34">
        <v>79552</v>
      </c>
      <c r="BI9" s="77">
        <v>79552</v>
      </c>
      <c r="BJ9" s="34">
        <v>42549</v>
      </c>
      <c r="BK9" s="34">
        <v>38401.68</v>
      </c>
      <c r="BL9">
        <f t="shared" si="14"/>
        <v>37003</v>
      </c>
      <c r="BM9" s="34">
        <f t="shared" si="15"/>
        <v>41150.32</v>
      </c>
      <c r="BN9" s="23">
        <v>0.21299999999999999</v>
      </c>
      <c r="BO9" s="23">
        <f t="shared" si="16"/>
        <v>0.25825385107723148</v>
      </c>
    </row>
    <row r="10" spans="1:67" x14ac:dyDescent="0.25">
      <c r="A10" s="7" t="s">
        <v>3</v>
      </c>
      <c r="B10" s="7" t="s">
        <v>38</v>
      </c>
      <c r="C10" s="1">
        <f t="shared" si="0"/>
        <v>42</v>
      </c>
      <c r="D10" s="8">
        <v>0</v>
      </c>
      <c r="E10" s="8">
        <v>36</v>
      </c>
      <c r="F10" s="8">
        <v>0</v>
      </c>
      <c r="G10" s="8">
        <v>6</v>
      </c>
      <c r="H10" s="8">
        <v>0</v>
      </c>
      <c r="I10">
        <v>0</v>
      </c>
      <c r="J10">
        <v>0</v>
      </c>
      <c r="L10">
        <v>90</v>
      </c>
      <c r="M10" s="25">
        <f t="shared" si="1"/>
        <v>2.1428571428571428</v>
      </c>
      <c r="N10" s="23">
        <f>M10/M77</f>
        <v>3.3216292035200427E-2</v>
      </c>
      <c r="O10">
        <v>13.5</v>
      </c>
      <c r="P10" s="23">
        <f t="shared" si="2"/>
        <v>0.32142857142857145</v>
      </c>
      <c r="Q10" s="40">
        <f>P10/P77</f>
        <v>2.1510408746120872E-2</v>
      </c>
      <c r="R10" s="23">
        <f t="shared" si="3"/>
        <v>1.6875</v>
      </c>
      <c r="S10" s="42">
        <f>R10/R77</f>
        <v>3.2377264177192222E-2</v>
      </c>
      <c r="T10" s="42">
        <f t="shared" si="4"/>
        <v>3.0289821212930536E-2</v>
      </c>
      <c r="U10" s="34">
        <v>253546</v>
      </c>
      <c r="V10" s="72">
        <f t="shared" si="5"/>
        <v>6036.8095238095239</v>
      </c>
      <c r="W10" s="72"/>
      <c r="X10" s="40">
        <f>V10/V77</f>
        <v>7.7521110526922579E-2</v>
      </c>
      <c r="Y10" s="47">
        <f t="shared" si="6"/>
        <v>4.9182336938527353E-2</v>
      </c>
      <c r="Z10" s="47">
        <v>1.407</v>
      </c>
      <c r="AA10" s="139">
        <v>0.75900000000000001</v>
      </c>
      <c r="AB10" s="139">
        <f t="shared" si="7"/>
        <v>0.80641798240420604</v>
      </c>
      <c r="AC10" s="67">
        <f>AH10*AM3</f>
        <v>134204.31694929194</v>
      </c>
      <c r="AD10" s="40">
        <f>C10*AK10</f>
        <v>0</v>
      </c>
      <c r="AE10" s="40" t="e">
        <f>C10*AL10</f>
        <v>#REF!</v>
      </c>
      <c r="AF10" s="37">
        <f>AI10*AN$3</f>
        <v>141600.92111442008</v>
      </c>
      <c r="AG10" s="37">
        <f>AF10-AC10</f>
        <v>7396.6041651281412</v>
      </c>
      <c r="AH10" s="23">
        <f>C10*AM10</f>
        <v>2.2700277718436235</v>
      </c>
      <c r="AI10" s="23">
        <f>C10*AN10</f>
        <v>2.3565607501796459</v>
      </c>
      <c r="AJ10" s="23">
        <f>AC10/C10</f>
        <v>3195.3408797450461</v>
      </c>
      <c r="AK10" s="23"/>
      <c r="AL10" s="23" t="e">
        <f>Z10/#REF!</f>
        <v>#REF!</v>
      </c>
      <c r="AM10" s="23">
        <f>AA10/AO$2</f>
        <v>5.4048280281991032E-2</v>
      </c>
      <c r="AN10" s="26">
        <f>AB10/AR$2</f>
        <v>5.6108589289991573E-2</v>
      </c>
      <c r="AS10">
        <v>197</v>
      </c>
      <c r="AT10">
        <v>197</v>
      </c>
      <c r="AU10">
        <f t="shared" si="8"/>
        <v>0</v>
      </c>
      <c r="AV10">
        <v>95</v>
      </c>
      <c r="AW10" s="119">
        <v>95.749790000000004</v>
      </c>
      <c r="AX10">
        <f t="shared" si="9"/>
        <v>102</v>
      </c>
      <c r="AY10" s="119">
        <f t="shared" si="10"/>
        <v>101.25021</v>
      </c>
      <c r="AZ10" s="23">
        <v>0.84</v>
      </c>
      <c r="BA10" s="23">
        <f t="shared" si="11"/>
        <v>0.8382723357537103</v>
      </c>
      <c r="BB10" s="119">
        <v>28</v>
      </c>
      <c r="BC10" s="119">
        <v>13</v>
      </c>
      <c r="BD10" s="119">
        <f t="shared" si="12"/>
        <v>15</v>
      </c>
      <c r="BE10" s="23">
        <v>0.435</v>
      </c>
      <c r="BF10" s="23">
        <v>0.73899999999999999</v>
      </c>
      <c r="BG10" s="23">
        <f t="shared" si="13"/>
        <v>0.73745425181528279</v>
      </c>
      <c r="BH10" s="34">
        <v>234148</v>
      </c>
      <c r="BI10" s="77">
        <v>234148.61</v>
      </c>
      <c r="BJ10" s="34">
        <v>91109</v>
      </c>
      <c r="BK10" s="34">
        <v>84033.42</v>
      </c>
      <c r="BL10">
        <f t="shared" si="14"/>
        <v>143039</v>
      </c>
      <c r="BM10" s="34">
        <f t="shared" si="15"/>
        <v>150115.19</v>
      </c>
      <c r="BN10" s="23">
        <v>0.78900000000000003</v>
      </c>
      <c r="BO10" s="23">
        <f t="shared" si="16"/>
        <v>0.9098635782875909</v>
      </c>
    </row>
    <row r="11" spans="1:67" x14ac:dyDescent="0.25">
      <c r="A11" s="7" t="s">
        <v>3</v>
      </c>
      <c r="B11" s="7" t="s">
        <v>41</v>
      </c>
      <c r="C11" s="1">
        <f t="shared" si="0"/>
        <v>8</v>
      </c>
      <c r="D11" s="8">
        <v>8</v>
      </c>
      <c r="E11" s="8">
        <v>0</v>
      </c>
      <c r="F11" s="8">
        <v>0</v>
      </c>
      <c r="G11" s="8">
        <v>0</v>
      </c>
      <c r="H11" s="8">
        <v>0</v>
      </c>
      <c r="I11">
        <v>0</v>
      </c>
      <c r="J11">
        <v>0</v>
      </c>
      <c r="L11">
        <v>2</v>
      </c>
      <c r="M11" s="23">
        <f t="shared" si="1"/>
        <v>0.25</v>
      </c>
      <c r="N11" s="23">
        <f>M11/M77</f>
        <v>3.8752340707733832E-3</v>
      </c>
      <c r="O11">
        <v>0</v>
      </c>
      <c r="P11" s="23">
        <f t="shared" si="2"/>
        <v>0</v>
      </c>
      <c r="Q11" s="40">
        <f>P11/P77</f>
        <v>0</v>
      </c>
      <c r="R11" s="23">
        <f t="shared" si="3"/>
        <v>0.1875</v>
      </c>
      <c r="S11" s="40">
        <f>R11/R77</f>
        <v>3.5974737974658025E-3</v>
      </c>
      <c r="T11" s="40">
        <f t="shared" si="4"/>
        <v>2.9064255530800373E-3</v>
      </c>
      <c r="U11" s="34">
        <v>0</v>
      </c>
      <c r="V11" s="34">
        <f t="shared" si="5"/>
        <v>0</v>
      </c>
      <c r="W11" s="34"/>
      <c r="X11" s="40">
        <f>V11/V77</f>
        <v>0</v>
      </c>
      <c r="Y11" s="48">
        <f t="shared" si="6"/>
        <v>1.7438553318480223E-3</v>
      </c>
      <c r="Z11" s="48">
        <v>-0.59699999999999998</v>
      </c>
      <c r="AA11" s="137">
        <v>-0.17399999999999999</v>
      </c>
      <c r="AB11" s="137">
        <f t="shared" si="7"/>
        <v>-0.17100863369136213</v>
      </c>
      <c r="AC11" s="61"/>
      <c r="AD11" s="40"/>
      <c r="AE11" s="40"/>
      <c r="AF11" s="37"/>
      <c r="AG11" s="37"/>
      <c r="AH11" s="23"/>
      <c r="AI11" s="23"/>
      <c r="AJ11" s="23"/>
      <c r="AK11" s="23"/>
      <c r="AL11" s="23"/>
      <c r="AM11" s="23"/>
      <c r="AN11" s="26"/>
      <c r="AS11">
        <v>3</v>
      </c>
      <c r="AT11">
        <v>3</v>
      </c>
      <c r="AU11">
        <f t="shared" si="8"/>
        <v>0</v>
      </c>
      <c r="AV11">
        <v>18</v>
      </c>
      <c r="AW11" s="119">
        <v>18.238060000000001</v>
      </c>
      <c r="AX11">
        <f t="shared" si="9"/>
        <v>-15</v>
      </c>
      <c r="AY11" s="119">
        <f t="shared" si="10"/>
        <v>-15.238060000000001</v>
      </c>
      <c r="AZ11" s="23">
        <v>-0.20599999999999999</v>
      </c>
      <c r="BA11" s="23">
        <f t="shared" si="11"/>
        <v>-0.2003708645665232</v>
      </c>
      <c r="BB11" s="119">
        <v>0</v>
      </c>
      <c r="BC11" s="119">
        <v>3</v>
      </c>
      <c r="BD11" s="119">
        <f t="shared" si="12"/>
        <v>-3</v>
      </c>
      <c r="BE11" s="23">
        <v>-0.28199999999999997</v>
      </c>
      <c r="BF11" s="23">
        <v>-0.22500000000000001</v>
      </c>
      <c r="BG11" s="23">
        <f t="shared" si="13"/>
        <v>-0.22077814842489241</v>
      </c>
      <c r="BH11" s="34">
        <v>0</v>
      </c>
      <c r="BI11" s="77">
        <v>0</v>
      </c>
      <c r="BJ11" s="34">
        <v>20531</v>
      </c>
      <c r="BK11" s="34">
        <v>18148.73</v>
      </c>
      <c r="BL11">
        <f t="shared" si="14"/>
        <v>-20531</v>
      </c>
      <c r="BM11" s="34">
        <f t="shared" si="15"/>
        <v>-18148.73</v>
      </c>
      <c r="BN11" s="23">
        <v>-9.9000000000000005E-2</v>
      </c>
      <c r="BO11" s="23">
        <f t="shared" si="16"/>
        <v>-9.6354361591066681E-2</v>
      </c>
    </row>
    <row r="12" spans="1:67" x14ac:dyDescent="0.25">
      <c r="A12" s="7" t="s">
        <v>43</v>
      </c>
      <c r="B12" s="7" t="s">
        <v>44</v>
      </c>
      <c r="C12" s="1">
        <f t="shared" si="0"/>
        <v>19</v>
      </c>
      <c r="D12">
        <v>1</v>
      </c>
      <c r="E12">
        <v>0</v>
      </c>
      <c r="F12">
        <v>0</v>
      </c>
      <c r="G12">
        <v>18</v>
      </c>
      <c r="H12">
        <v>0</v>
      </c>
      <c r="I12">
        <v>0</v>
      </c>
      <c r="J12">
        <v>0</v>
      </c>
      <c r="L12">
        <v>13</v>
      </c>
      <c r="M12" s="23">
        <f t="shared" si="1"/>
        <v>0.68421052631578949</v>
      </c>
      <c r="N12" s="23">
        <f>M12/M77</f>
        <v>1.0605903772642944E-2</v>
      </c>
      <c r="O12">
        <v>1.5</v>
      </c>
      <c r="P12" s="23">
        <f t="shared" si="2"/>
        <v>7.8947368421052627E-2</v>
      </c>
      <c r="Q12" s="40">
        <f>P12/P77</f>
        <v>5.2832582885209154E-3</v>
      </c>
      <c r="R12" s="23">
        <f t="shared" si="3"/>
        <v>0.53289473684210531</v>
      </c>
      <c r="S12" s="40">
        <f>R12/R77</f>
        <v>1.0224399213850176E-2</v>
      </c>
      <c r="T12" s="40">
        <f t="shared" si="4"/>
        <v>9.2752424016124373E-3</v>
      </c>
      <c r="U12" s="34">
        <v>235749</v>
      </c>
      <c r="V12" s="72">
        <f t="shared" si="5"/>
        <v>12407.842105263158</v>
      </c>
      <c r="W12" s="72"/>
      <c r="X12" s="40">
        <f>V12/V77</f>
        <v>0.15933411439420767</v>
      </c>
      <c r="Y12" s="47">
        <f t="shared" si="6"/>
        <v>6.9298791198650539E-2</v>
      </c>
      <c r="Z12" s="47">
        <v>0.51300000000000001</v>
      </c>
      <c r="AA12" s="139">
        <v>1.087</v>
      </c>
      <c r="AB12" s="139">
        <f t="shared" si="7"/>
        <v>0.7742794432783271</v>
      </c>
      <c r="AC12" s="67">
        <f>AH12*AM3</f>
        <v>86947.793398385285</v>
      </c>
      <c r="AD12" s="40">
        <f>C12*AK12</f>
        <v>0</v>
      </c>
      <c r="AE12" s="40" t="e">
        <f>C12*AL12</f>
        <v>#REF!</v>
      </c>
      <c r="AF12" s="37">
        <f>AI12*AN$3</f>
        <v>61504.644774458429</v>
      </c>
      <c r="AG12" s="37">
        <f>AF12-AC12</f>
        <v>-25443.148623926856</v>
      </c>
      <c r="AH12" s="23">
        <f>C12*AM12</f>
        <v>1.4706971444847967</v>
      </c>
      <c r="AI12" s="23">
        <f>C12*AN12</f>
        <v>1.0235768997018928</v>
      </c>
      <c r="AJ12" s="23"/>
      <c r="AK12" s="23"/>
      <c r="AL12" s="23" t="e">
        <f>Z12/#REF!</f>
        <v>#REF!</v>
      </c>
      <c r="AM12" s="23">
        <f>AA12/AO$2</f>
        <v>7.7405112867620876E-2</v>
      </c>
      <c r="AN12" s="26">
        <f>AB12/AR$2</f>
        <v>5.3872468405362778E-2</v>
      </c>
      <c r="AS12">
        <v>22</v>
      </c>
      <c r="AT12">
        <v>22</v>
      </c>
      <c r="AU12">
        <f t="shared" si="8"/>
        <v>0</v>
      </c>
      <c r="AV12">
        <v>43</v>
      </c>
      <c r="AW12" s="119">
        <v>43.315379999999998</v>
      </c>
      <c r="AX12">
        <f t="shared" si="9"/>
        <v>-21</v>
      </c>
      <c r="AY12" s="119">
        <f t="shared" si="10"/>
        <v>-21.315379999999998</v>
      </c>
      <c r="AZ12" s="23">
        <v>-0.25900000000000001</v>
      </c>
      <c r="BA12" s="23">
        <f t="shared" si="11"/>
        <v>-0.25455801228680575</v>
      </c>
      <c r="BB12" s="119">
        <v>1</v>
      </c>
      <c r="BC12" s="119">
        <v>6</v>
      </c>
      <c r="BD12" s="119">
        <f t="shared" si="12"/>
        <v>-5</v>
      </c>
      <c r="BE12" s="23">
        <v>-0.36099999999999999</v>
      </c>
      <c r="BF12" s="23">
        <v>-0.28499999999999998</v>
      </c>
      <c r="BG12" s="23">
        <f t="shared" si="13"/>
        <v>-0.28116850921510428</v>
      </c>
      <c r="BH12" s="34">
        <v>621555</v>
      </c>
      <c r="BI12" s="77">
        <v>432556.23</v>
      </c>
      <c r="BJ12" s="34">
        <v>44667</v>
      </c>
      <c r="BK12" s="34">
        <v>40369.43</v>
      </c>
      <c r="BL12">
        <f t="shared" si="14"/>
        <v>576888</v>
      </c>
      <c r="BM12" s="34">
        <f t="shared" si="15"/>
        <v>392186.8</v>
      </c>
      <c r="BN12" s="23">
        <v>3.1440000000000001</v>
      </c>
      <c r="BO12" s="23">
        <f t="shared" si="16"/>
        <v>2.357451372018474</v>
      </c>
    </row>
    <row r="13" spans="1:67" x14ac:dyDescent="0.25">
      <c r="A13" s="9" t="s">
        <v>43</v>
      </c>
      <c r="B13" s="9" t="s">
        <v>47</v>
      </c>
      <c r="C13" s="10">
        <f t="shared" si="0"/>
        <v>7</v>
      </c>
      <c r="D13">
        <v>0</v>
      </c>
      <c r="E13">
        <v>0</v>
      </c>
      <c r="F13">
        <v>0</v>
      </c>
      <c r="G13">
        <v>0</v>
      </c>
      <c r="H13">
        <v>7</v>
      </c>
      <c r="I13">
        <v>0</v>
      </c>
      <c r="J13">
        <v>0</v>
      </c>
      <c r="L13">
        <v>6</v>
      </c>
      <c r="M13" s="23">
        <f t="shared" si="1"/>
        <v>0.8571428571428571</v>
      </c>
      <c r="N13" s="23">
        <f>M13/M77</f>
        <v>1.328651681408017E-2</v>
      </c>
      <c r="O13">
        <v>1</v>
      </c>
      <c r="P13" s="23">
        <f t="shared" si="2"/>
        <v>0.14285714285714285</v>
      </c>
      <c r="Q13" s="40">
        <f>P13/P77</f>
        <v>9.5601816649426088E-3</v>
      </c>
      <c r="R13" s="23">
        <f t="shared" si="3"/>
        <v>0.67857142857142849</v>
      </c>
      <c r="S13" s="40">
        <f>R13/R77</f>
        <v>1.3019428981304808E-2</v>
      </c>
      <c r="T13" s="40">
        <f t="shared" si="4"/>
        <v>1.2354933026795779E-2</v>
      </c>
      <c r="U13" s="34">
        <v>0</v>
      </c>
      <c r="V13" s="34">
        <f t="shared" si="5"/>
        <v>0</v>
      </c>
      <c r="W13" s="34"/>
      <c r="X13" s="40">
        <f>V13/V77</f>
        <v>0</v>
      </c>
      <c r="Y13" s="48">
        <f t="shared" si="6"/>
        <v>7.4129598160774671E-3</v>
      </c>
      <c r="Z13" s="48">
        <v>-0.58599999999999997</v>
      </c>
      <c r="AA13" s="137">
        <v>-0.105</v>
      </c>
      <c r="AB13" s="137">
        <f t="shared" si="7"/>
        <v>-0.1006855461475305</v>
      </c>
      <c r="AC13" s="61"/>
      <c r="AD13" s="40"/>
      <c r="AE13" s="40"/>
      <c r="AF13" s="37"/>
      <c r="AG13" s="37"/>
      <c r="AH13" s="23"/>
      <c r="AI13" s="23"/>
      <c r="AJ13" s="23"/>
      <c r="AK13" s="23"/>
      <c r="AL13" s="23"/>
      <c r="AM13" s="23"/>
      <c r="AN13" s="26"/>
      <c r="AS13">
        <v>14</v>
      </c>
      <c r="AT13">
        <v>14</v>
      </c>
      <c r="AU13">
        <f t="shared" si="8"/>
        <v>0</v>
      </c>
      <c r="AV13">
        <v>16</v>
      </c>
      <c r="AW13" s="119">
        <v>15.958299999999999</v>
      </c>
      <c r="AX13">
        <f t="shared" si="9"/>
        <v>-2</v>
      </c>
      <c r="AY13" s="119">
        <f t="shared" si="10"/>
        <v>-1.9582999999999995</v>
      </c>
      <c r="AZ13" s="23">
        <v>-8.8999999999999996E-2</v>
      </c>
      <c r="BA13" s="23">
        <f t="shared" si="11"/>
        <v>-8.1964672888299908E-2</v>
      </c>
      <c r="BB13" s="119">
        <v>1</v>
      </c>
      <c r="BC13" s="119">
        <v>2</v>
      </c>
      <c r="BD13" s="119">
        <f t="shared" si="12"/>
        <v>-1</v>
      </c>
      <c r="BE13" s="23">
        <v>-0.20200000000000001</v>
      </c>
      <c r="BF13" s="23">
        <v>-0.11799999999999999</v>
      </c>
      <c r="BG13" s="23">
        <f t="shared" si="13"/>
        <v>-0.11197350466622494</v>
      </c>
      <c r="BH13" s="34">
        <v>0</v>
      </c>
      <c r="BI13" s="77">
        <v>0</v>
      </c>
      <c r="BJ13" s="34">
        <v>18209</v>
      </c>
      <c r="BK13" s="34">
        <v>16041.58</v>
      </c>
      <c r="BL13">
        <f t="shared" si="14"/>
        <v>-18209</v>
      </c>
      <c r="BM13" s="34">
        <f t="shared" si="15"/>
        <v>-16041.58</v>
      </c>
      <c r="BN13" s="23">
        <v>-8.5999999999999993E-2</v>
      </c>
      <c r="BO13" s="23">
        <f t="shared" si="16"/>
        <v>-8.3753608369488849E-2</v>
      </c>
    </row>
    <row r="14" spans="1:67" x14ac:dyDescent="0.25">
      <c r="A14" s="7" t="s">
        <v>43</v>
      </c>
      <c r="B14" s="7" t="s">
        <v>48</v>
      </c>
      <c r="C14" s="32">
        <f t="shared" si="0"/>
        <v>4</v>
      </c>
      <c r="D14">
        <v>0</v>
      </c>
      <c r="E14">
        <v>0</v>
      </c>
      <c r="F14">
        <v>0</v>
      </c>
      <c r="G14">
        <v>0</v>
      </c>
      <c r="H14">
        <v>4</v>
      </c>
      <c r="I14">
        <v>0</v>
      </c>
      <c r="J14">
        <v>0</v>
      </c>
      <c r="L14">
        <v>0</v>
      </c>
      <c r="M14" s="23">
        <f t="shared" si="1"/>
        <v>0</v>
      </c>
      <c r="N14" s="23">
        <f>M14/M77</f>
        <v>0</v>
      </c>
      <c r="O14">
        <v>0</v>
      </c>
      <c r="P14" s="23">
        <f t="shared" si="2"/>
        <v>0</v>
      </c>
      <c r="Q14" s="40">
        <f>P14/P77</f>
        <v>0</v>
      </c>
      <c r="R14" s="23">
        <f t="shared" si="3"/>
        <v>0</v>
      </c>
      <c r="S14" s="40">
        <f>R14/R77</f>
        <v>0</v>
      </c>
      <c r="T14" s="40">
        <f t="shared" si="4"/>
        <v>0</v>
      </c>
      <c r="U14" s="44">
        <v>0</v>
      </c>
      <c r="V14" s="34">
        <f t="shared" si="5"/>
        <v>0</v>
      </c>
      <c r="W14" s="34"/>
      <c r="X14" s="40">
        <f>V14/V77</f>
        <v>0</v>
      </c>
      <c r="Y14" s="48">
        <f t="shared" si="6"/>
        <v>0</v>
      </c>
      <c r="Z14" s="48"/>
      <c r="AA14" s="23"/>
      <c r="AC14" s="61"/>
      <c r="AD14" s="40"/>
      <c r="AE14" s="40"/>
      <c r="AF14" s="37"/>
      <c r="AG14" s="37"/>
      <c r="AH14" s="23"/>
      <c r="AI14" s="23"/>
      <c r="AJ14" s="23"/>
      <c r="AK14" s="23"/>
      <c r="AL14" s="23"/>
      <c r="AM14" s="23"/>
      <c r="AN14" s="26"/>
      <c r="BD14" s="119"/>
      <c r="BH14" s="34"/>
      <c r="BI14" s="77">
        <v>0</v>
      </c>
      <c r="BJ14" s="34"/>
      <c r="BO14" s="23"/>
    </row>
    <row r="15" spans="1:67" x14ac:dyDescent="0.25">
      <c r="A15" s="9" t="s">
        <v>43</v>
      </c>
      <c r="B15" s="9" t="s">
        <v>49</v>
      </c>
      <c r="C15" s="10">
        <f t="shared" si="0"/>
        <v>12</v>
      </c>
      <c r="D15">
        <v>4</v>
      </c>
      <c r="E15">
        <v>0</v>
      </c>
      <c r="F15">
        <v>0</v>
      </c>
      <c r="G15">
        <v>0</v>
      </c>
      <c r="H15">
        <v>8</v>
      </c>
      <c r="I15">
        <v>0</v>
      </c>
      <c r="J15">
        <v>0</v>
      </c>
      <c r="L15">
        <v>4.5</v>
      </c>
      <c r="M15" s="23">
        <f t="shared" si="1"/>
        <v>0.375</v>
      </c>
      <c r="N15" s="23">
        <f>M15/M77</f>
        <v>5.8128511061600746E-3</v>
      </c>
      <c r="O15">
        <v>0</v>
      </c>
      <c r="P15" s="23">
        <f t="shared" si="2"/>
        <v>0</v>
      </c>
      <c r="Q15" s="40">
        <f>P15/P77</f>
        <v>0</v>
      </c>
      <c r="R15" s="23">
        <f t="shared" si="3"/>
        <v>0.28125</v>
      </c>
      <c r="S15" s="40">
        <f>R15/R77</f>
        <v>5.396210696198704E-3</v>
      </c>
      <c r="T15" s="40">
        <f t="shared" si="4"/>
        <v>4.359638329620056E-3</v>
      </c>
      <c r="U15" s="34">
        <v>0</v>
      </c>
      <c r="V15" s="34">
        <f t="shared" si="5"/>
        <v>0</v>
      </c>
      <c r="W15" s="34"/>
      <c r="X15" s="40">
        <f>V15/V77</f>
        <v>0</v>
      </c>
      <c r="Y15" s="48">
        <f t="shared" si="6"/>
        <v>2.6157829977720335E-3</v>
      </c>
      <c r="Z15" s="48">
        <v>-0.74</v>
      </c>
      <c r="AA15" s="137">
        <v>-0.156</v>
      </c>
      <c r="AB15" s="137">
        <f>(0.6*BG15)+(0.4*BO15)</f>
        <v>-0.15308674034644285</v>
      </c>
      <c r="AC15" s="61"/>
      <c r="AD15" s="40"/>
      <c r="AE15" s="40"/>
      <c r="AF15" s="37"/>
      <c r="AG15" s="37"/>
      <c r="AH15" s="23"/>
      <c r="AI15" s="23"/>
      <c r="AJ15" s="23"/>
      <c r="AK15" s="23"/>
      <c r="AL15" s="23"/>
      <c r="AM15" s="23"/>
      <c r="AN15" s="26"/>
      <c r="AS15">
        <v>23</v>
      </c>
      <c r="AT15">
        <v>23</v>
      </c>
      <c r="AU15">
        <f>AS15-AT15</f>
        <v>0</v>
      </c>
      <c r="AV15">
        <v>27</v>
      </c>
      <c r="AW15" s="119">
        <v>27.35708</v>
      </c>
      <c r="AX15">
        <f t="shared" si="9"/>
        <v>-4</v>
      </c>
      <c r="AY15" s="119">
        <f t="shared" si="10"/>
        <v>-4.3570799999999998</v>
      </c>
      <c r="AZ15" s="23">
        <v>-0.107</v>
      </c>
      <c r="BA15" s="23">
        <f t="shared" si="11"/>
        <v>-0.1033528910845541</v>
      </c>
      <c r="BB15" s="119">
        <v>0</v>
      </c>
      <c r="BC15" s="119">
        <v>4</v>
      </c>
      <c r="BD15" s="119">
        <f t="shared" si="12"/>
        <v>-4</v>
      </c>
      <c r="BE15" s="23">
        <v>-0.32200000000000001</v>
      </c>
      <c r="BF15" s="23">
        <v>-0.161</v>
      </c>
      <c r="BG15" s="23">
        <f t="shared" si="13"/>
        <v>-0.1580146683134156</v>
      </c>
      <c r="BH15" s="34">
        <v>0</v>
      </c>
      <c r="BI15" s="77">
        <v>0</v>
      </c>
      <c r="BJ15" s="34">
        <v>29556</v>
      </c>
      <c r="BK15" s="34">
        <v>26399.65</v>
      </c>
      <c r="BL15">
        <f t="shared" si="14"/>
        <v>-29556</v>
      </c>
      <c r="BM15" s="34">
        <f t="shared" si="15"/>
        <v>-26399.65</v>
      </c>
      <c r="BN15" s="23">
        <v>-0.14799999999999999</v>
      </c>
      <c r="BO15" s="23">
        <f t="shared" si="16"/>
        <v>-0.14569484839598373</v>
      </c>
    </row>
    <row r="16" spans="1:67" x14ac:dyDescent="0.25">
      <c r="A16" s="9" t="s">
        <v>43</v>
      </c>
      <c r="B16" s="9" t="s">
        <v>50</v>
      </c>
      <c r="C16" s="10">
        <f t="shared" si="0"/>
        <v>11</v>
      </c>
      <c r="D16">
        <v>5</v>
      </c>
      <c r="E16">
        <v>0</v>
      </c>
      <c r="F16">
        <v>0</v>
      </c>
      <c r="G16">
        <v>0</v>
      </c>
      <c r="H16">
        <v>6</v>
      </c>
      <c r="I16">
        <v>0</v>
      </c>
      <c r="J16">
        <v>0</v>
      </c>
      <c r="L16">
        <v>1</v>
      </c>
      <c r="M16" s="23">
        <f t="shared" si="1"/>
        <v>9.0909090909090912E-2</v>
      </c>
      <c r="N16" s="23">
        <f>M16/M77</f>
        <v>1.4091760257357758E-3</v>
      </c>
      <c r="O16">
        <v>0</v>
      </c>
      <c r="P16" s="23">
        <f t="shared" si="2"/>
        <v>0</v>
      </c>
      <c r="Q16" s="40">
        <f>P16/P77</f>
        <v>0</v>
      </c>
      <c r="R16" s="23">
        <f t="shared" si="3"/>
        <v>6.8181818181818177E-2</v>
      </c>
      <c r="S16" s="40">
        <f>R16/R77</f>
        <v>1.3081722899875644E-3</v>
      </c>
      <c r="T16" s="40">
        <f t="shared" si="4"/>
        <v>1.0568820193018317E-3</v>
      </c>
      <c r="U16" s="34">
        <v>0</v>
      </c>
      <c r="V16" s="34">
        <f t="shared" si="5"/>
        <v>0</v>
      </c>
      <c r="W16" s="34"/>
      <c r="X16" s="40">
        <f>V16/V77</f>
        <v>0</v>
      </c>
      <c r="Y16" s="48">
        <f t="shared" si="6"/>
        <v>6.3412921158109898E-4</v>
      </c>
      <c r="Z16" s="48">
        <v>-0.57199999999999995</v>
      </c>
      <c r="AA16" s="137">
        <v>-0.219</v>
      </c>
      <c r="AB16" s="137">
        <f>(0.6*BG16)+(0.4*BO16)</f>
        <v>-0.21529439851195747</v>
      </c>
      <c r="AC16" s="61"/>
      <c r="AD16" s="40"/>
      <c r="AE16" s="40"/>
      <c r="AF16" s="37"/>
      <c r="AG16" s="37"/>
      <c r="AH16" s="23"/>
      <c r="AI16" s="23"/>
      <c r="AJ16" s="23"/>
      <c r="AK16" s="23"/>
      <c r="AL16" s="23"/>
      <c r="AM16" s="23"/>
      <c r="AN16" s="26"/>
      <c r="AS16">
        <v>4</v>
      </c>
      <c r="AT16">
        <v>4</v>
      </c>
      <c r="AU16">
        <f>AS16-AT16</f>
        <v>0</v>
      </c>
      <c r="AV16">
        <v>25</v>
      </c>
      <c r="AW16" s="119">
        <v>25.07733</v>
      </c>
      <c r="AX16">
        <f t="shared" si="9"/>
        <v>-21</v>
      </c>
      <c r="AY16" s="119">
        <f t="shared" si="10"/>
        <v>-21.07733</v>
      </c>
      <c r="AZ16" s="23">
        <v>-0.25900000000000001</v>
      </c>
      <c r="BA16" s="23">
        <f t="shared" si="11"/>
        <v>-0.25243548944535371</v>
      </c>
      <c r="BB16" s="119">
        <v>0</v>
      </c>
      <c r="BC16" s="119">
        <v>4</v>
      </c>
      <c r="BD16" s="119">
        <f t="shared" si="12"/>
        <v>-4</v>
      </c>
      <c r="BE16" s="23">
        <v>-0.32200000000000001</v>
      </c>
      <c r="BF16" s="23">
        <v>-0.27500000000000002</v>
      </c>
      <c r="BG16" s="23">
        <f t="shared" si="13"/>
        <v>-0.26982661708401529</v>
      </c>
      <c r="BH16" s="34">
        <v>0</v>
      </c>
      <c r="BI16" s="77">
        <v>0</v>
      </c>
      <c r="BJ16" s="34">
        <v>27333</v>
      </c>
      <c r="BK16" s="34">
        <v>24359.72</v>
      </c>
      <c r="BL16">
        <f t="shared" si="14"/>
        <v>-27333</v>
      </c>
      <c r="BM16" s="34">
        <f t="shared" si="15"/>
        <v>-24359.72</v>
      </c>
      <c r="BN16" s="23">
        <v>-0.13600000000000001</v>
      </c>
      <c r="BO16" s="23">
        <f t="shared" si="16"/>
        <v>-0.13349607065387079</v>
      </c>
    </row>
    <row r="17" spans="1:67" x14ac:dyDescent="0.25">
      <c r="A17" s="9" t="s">
        <v>43</v>
      </c>
      <c r="B17" s="9" t="s">
        <v>51</v>
      </c>
      <c r="C17" s="32">
        <f t="shared" si="0"/>
        <v>1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L17">
        <v>0</v>
      </c>
      <c r="M17" s="23">
        <f t="shared" si="1"/>
        <v>0</v>
      </c>
      <c r="N17" s="23">
        <f>M17/M77</f>
        <v>0</v>
      </c>
      <c r="O17">
        <v>0</v>
      </c>
      <c r="P17" s="23">
        <f t="shared" si="2"/>
        <v>0</v>
      </c>
      <c r="Q17" s="40">
        <f>P17/P77</f>
        <v>0</v>
      </c>
      <c r="R17" s="23">
        <f t="shared" si="3"/>
        <v>0</v>
      </c>
      <c r="S17" s="40">
        <f>R17/R77</f>
        <v>0</v>
      </c>
      <c r="T17" s="40">
        <f t="shared" si="4"/>
        <v>0</v>
      </c>
      <c r="U17" s="34">
        <v>0</v>
      </c>
      <c r="V17" s="34">
        <f t="shared" si="5"/>
        <v>0</v>
      </c>
      <c r="W17" s="34"/>
      <c r="X17" s="40">
        <f>V17/V77</f>
        <v>0</v>
      </c>
      <c r="Y17" s="48">
        <f t="shared" si="6"/>
        <v>0</v>
      </c>
      <c r="Z17" s="48"/>
      <c r="AA17" s="23"/>
      <c r="AC17" s="61"/>
      <c r="AD17" s="40"/>
      <c r="AE17" s="40"/>
      <c r="AF17" s="37"/>
      <c r="AG17" s="37"/>
      <c r="AH17" s="23"/>
      <c r="AI17" s="23"/>
      <c r="AJ17" s="23"/>
      <c r="AK17" s="23"/>
      <c r="AL17" s="23"/>
      <c r="AM17" s="23"/>
      <c r="AN17" s="26"/>
      <c r="BD17" s="119"/>
      <c r="BH17" s="34"/>
      <c r="BI17" s="77">
        <v>0</v>
      </c>
      <c r="BJ17" s="34"/>
      <c r="BO17" s="23"/>
    </row>
    <row r="18" spans="1:67" x14ac:dyDescent="0.25">
      <c r="A18" s="9" t="s">
        <v>52</v>
      </c>
      <c r="B18" s="9" t="s">
        <v>53</v>
      </c>
      <c r="C18" s="10">
        <f t="shared" si="0"/>
        <v>36</v>
      </c>
      <c r="D18">
        <v>0</v>
      </c>
      <c r="E18">
        <v>0</v>
      </c>
      <c r="F18">
        <v>0</v>
      </c>
      <c r="G18" s="8">
        <v>36</v>
      </c>
      <c r="H18">
        <v>0</v>
      </c>
      <c r="I18">
        <v>0</v>
      </c>
      <c r="J18">
        <v>0</v>
      </c>
      <c r="L18">
        <v>61.5</v>
      </c>
      <c r="M18" s="25">
        <f t="shared" si="1"/>
        <v>1.7083333333333333</v>
      </c>
      <c r="N18" s="23">
        <f>M18/M77</f>
        <v>2.6480766150284784E-2</v>
      </c>
      <c r="O18">
        <v>0.5</v>
      </c>
      <c r="P18" s="23">
        <f t="shared" si="2"/>
        <v>1.3888888888888888E-2</v>
      </c>
      <c r="Q18" s="40">
        <f>P18/P77</f>
        <v>9.2946210631386465E-4</v>
      </c>
      <c r="R18" s="23">
        <f t="shared" si="3"/>
        <v>1.2847222222222223</v>
      </c>
      <c r="S18" s="42">
        <f>R18/R77</f>
        <v>2.4649357501154573E-2</v>
      </c>
      <c r="T18" s="42">
        <f t="shared" si="4"/>
        <v>2.0092940139292054E-2</v>
      </c>
      <c r="U18" s="34">
        <v>20288</v>
      </c>
      <c r="V18" s="34">
        <f t="shared" si="5"/>
        <v>563.55555555555554</v>
      </c>
      <c r="W18" s="34"/>
      <c r="X18" s="40">
        <f>V18/V77</f>
        <v>7.2368446176705849E-3</v>
      </c>
      <c r="Y18" s="48">
        <f t="shared" si="6"/>
        <v>1.4950501930643467E-2</v>
      </c>
      <c r="Z18" s="48">
        <v>-2.3E-2</v>
      </c>
      <c r="AA18" s="137">
        <v>-0.14499999999999999</v>
      </c>
      <c r="AB18" s="137">
        <f t="shared" ref="AB18:AB25" si="17">(0.6*BG18)+(0.4*BO18)</f>
        <v>-0.13209415984287165</v>
      </c>
      <c r="AC18" s="61"/>
      <c r="AD18" s="40"/>
      <c r="AE18" s="40"/>
      <c r="AF18" s="37"/>
      <c r="AG18" s="37"/>
      <c r="AH18" s="23"/>
      <c r="AI18" s="23"/>
      <c r="AJ18" s="23"/>
      <c r="AK18" s="23"/>
      <c r="AL18" s="23"/>
      <c r="AM18" s="23"/>
      <c r="AN18" s="26"/>
      <c r="AS18">
        <v>104</v>
      </c>
      <c r="AT18">
        <v>106</v>
      </c>
      <c r="AU18">
        <f t="shared" ref="AU18:AU25" si="18">AS18-AT18</f>
        <v>-2</v>
      </c>
      <c r="AV18">
        <v>82</v>
      </c>
      <c r="AW18" s="119">
        <v>82.071250000000006</v>
      </c>
      <c r="AX18">
        <f t="shared" si="9"/>
        <v>22</v>
      </c>
      <c r="AY18" s="119">
        <f t="shared" si="10"/>
        <v>23.928749999999994</v>
      </c>
      <c r="AZ18" s="23">
        <v>0.125</v>
      </c>
      <c r="BA18" s="23">
        <f t="shared" si="11"/>
        <v>0.14885177291220766</v>
      </c>
      <c r="BB18" s="119">
        <v>4</v>
      </c>
      <c r="BC18" s="119">
        <v>12</v>
      </c>
      <c r="BD18" s="119">
        <f t="shared" si="12"/>
        <v>-8</v>
      </c>
      <c r="BE18" s="23">
        <v>-0.48099999999999998</v>
      </c>
      <c r="BF18" s="23">
        <v>-2.7E-2</v>
      </c>
      <c r="BG18" s="23">
        <f t="shared" si="13"/>
        <v>-8.611170315844241E-3</v>
      </c>
      <c r="BH18" s="34">
        <v>17775</v>
      </c>
      <c r="BI18" s="77">
        <v>17775.38</v>
      </c>
      <c r="BJ18" s="34">
        <v>79324</v>
      </c>
      <c r="BK18" s="34">
        <v>72874.67</v>
      </c>
      <c r="BL18">
        <f t="shared" si="14"/>
        <v>-61549</v>
      </c>
      <c r="BM18" s="34">
        <f t="shared" si="15"/>
        <v>-55099.289999999994</v>
      </c>
      <c r="BN18" s="23">
        <v>-0.32200000000000001</v>
      </c>
      <c r="BO18" s="23">
        <f t="shared" si="16"/>
        <v>-0.31731864413341276</v>
      </c>
    </row>
    <row r="19" spans="1:67" x14ac:dyDescent="0.25">
      <c r="A19" s="9" t="s">
        <v>52</v>
      </c>
      <c r="B19" s="9" t="s">
        <v>54</v>
      </c>
      <c r="C19" s="10">
        <f t="shared" si="0"/>
        <v>82</v>
      </c>
      <c r="D19">
        <v>0</v>
      </c>
      <c r="E19">
        <v>0</v>
      </c>
      <c r="F19">
        <v>0</v>
      </c>
      <c r="G19" s="8">
        <v>82</v>
      </c>
      <c r="H19">
        <v>0</v>
      </c>
      <c r="I19">
        <v>0</v>
      </c>
      <c r="J19">
        <v>0</v>
      </c>
      <c r="L19">
        <v>6</v>
      </c>
      <c r="M19" s="23">
        <f t="shared" si="1"/>
        <v>7.3170731707317069E-2</v>
      </c>
      <c r="N19" s="23">
        <f>M19/M77</f>
        <v>1.1342148499824535E-3</v>
      </c>
      <c r="O19">
        <v>52</v>
      </c>
      <c r="P19" s="23">
        <f t="shared" si="2"/>
        <v>0.63414634146341464</v>
      </c>
      <c r="Q19" s="40">
        <f>P19/P77</f>
        <v>4.2437879585842803E-2</v>
      </c>
      <c r="R19" s="23">
        <f t="shared" si="3"/>
        <v>0.21341463414634146</v>
      </c>
      <c r="S19" s="40">
        <f>R19/R77</f>
        <v>4.0946856231318073E-3</v>
      </c>
      <c r="T19" s="40">
        <f t="shared" si="4"/>
        <v>1.1460131033947541E-2</v>
      </c>
      <c r="U19" s="34">
        <v>383890</v>
      </c>
      <c r="V19" s="72">
        <f t="shared" si="5"/>
        <v>4681.5853658536589</v>
      </c>
      <c r="W19" s="72"/>
      <c r="X19" s="40">
        <f>V19/V77</f>
        <v>6.01181294781922E-2</v>
      </c>
      <c r="Y19" s="47">
        <f t="shared" si="6"/>
        <v>3.0923330411645408E-2</v>
      </c>
      <c r="Z19" s="47">
        <v>0.79900000000000004</v>
      </c>
      <c r="AA19" s="139">
        <v>0.72799999999999998</v>
      </c>
      <c r="AB19" s="139">
        <f t="shared" si="17"/>
        <v>0.81003442532977499</v>
      </c>
      <c r="AC19" s="67">
        <f>AH19*AM3</f>
        <v>251316.29664988173</v>
      </c>
      <c r="AD19" s="40">
        <f>C19*AK19</f>
        <v>0</v>
      </c>
      <c r="AE19" s="40" t="e">
        <f>C19*AL19</f>
        <v>#REF!</v>
      </c>
      <c r="AF19" s="37">
        <f>AI19*AN$3</f>
        <v>277698.7424232816</v>
      </c>
      <c r="AG19" s="37">
        <f>AF19-AC19</f>
        <v>26382.445773399872</v>
      </c>
      <c r="AH19" s="23">
        <f>C19*AM19</f>
        <v>4.2509435305846326</v>
      </c>
      <c r="AI19" s="23">
        <f>C19*AN19</f>
        <v>4.6215374279956567</v>
      </c>
      <c r="AJ19" s="23"/>
      <c r="AK19" s="23"/>
      <c r="AL19" s="23" t="e">
        <f>Z19/#REF!</f>
        <v>#REF!</v>
      </c>
      <c r="AM19" s="23">
        <f>AA19/AO$2</f>
        <v>5.1840774763227231E-2</v>
      </c>
      <c r="AN19" s="26">
        <f>AB19/AR$2</f>
        <v>5.6360212536532395E-2</v>
      </c>
      <c r="AS19">
        <v>194</v>
      </c>
      <c r="AT19">
        <v>194</v>
      </c>
      <c r="AU19">
        <f t="shared" si="18"/>
        <v>0</v>
      </c>
      <c r="AV19">
        <v>186</v>
      </c>
      <c r="AW19" s="119">
        <v>186.94006999999999</v>
      </c>
      <c r="AX19">
        <f t="shared" si="9"/>
        <v>8</v>
      </c>
      <c r="AY19" s="119">
        <f t="shared" si="10"/>
        <v>7.0599300000000085</v>
      </c>
      <c r="AZ19" s="23">
        <v>0</v>
      </c>
      <c r="BA19" s="23">
        <f t="shared" si="11"/>
        <v>-1.5555186582306745E-3</v>
      </c>
      <c r="BB19" s="119">
        <v>55</v>
      </c>
      <c r="BC19" s="119">
        <v>26</v>
      </c>
      <c r="BD19" s="119">
        <f t="shared" si="12"/>
        <v>29</v>
      </c>
      <c r="BE19" s="23">
        <v>0.99299999999999999</v>
      </c>
      <c r="BF19" s="23">
        <v>0.248</v>
      </c>
      <c r="BG19" s="23">
        <f t="shared" si="13"/>
        <v>0.247083361006327</v>
      </c>
      <c r="BH19" s="34">
        <v>430588</v>
      </c>
      <c r="BI19" s="77">
        <v>430587.17000000004</v>
      </c>
      <c r="BJ19" s="34">
        <v>166217</v>
      </c>
      <c r="BK19" s="34">
        <v>155957.32</v>
      </c>
      <c r="BL19">
        <f t="shared" si="14"/>
        <v>264371</v>
      </c>
      <c r="BM19" s="34">
        <f t="shared" si="15"/>
        <v>274629.85000000003</v>
      </c>
      <c r="BN19" s="23">
        <v>1.4470000000000001</v>
      </c>
      <c r="BO19" s="23">
        <f t="shared" si="16"/>
        <v>1.6544610218149467</v>
      </c>
    </row>
    <row r="20" spans="1:67" x14ac:dyDescent="0.25">
      <c r="A20" s="7" t="s">
        <v>52</v>
      </c>
      <c r="B20" s="7" t="s">
        <v>55</v>
      </c>
      <c r="C20" s="10">
        <f t="shared" si="0"/>
        <v>73</v>
      </c>
      <c r="D20">
        <v>0</v>
      </c>
      <c r="E20">
        <v>0</v>
      </c>
      <c r="F20">
        <v>0</v>
      </c>
      <c r="G20" s="8">
        <v>73</v>
      </c>
      <c r="H20">
        <v>0</v>
      </c>
      <c r="I20">
        <v>0</v>
      </c>
      <c r="J20">
        <v>0</v>
      </c>
      <c r="L20">
        <v>69</v>
      </c>
      <c r="M20" s="23">
        <f t="shared" si="1"/>
        <v>0.9452054794520548</v>
      </c>
      <c r="N20" s="23">
        <f>M20/M77</f>
        <v>1.4651569911417176E-2</v>
      </c>
      <c r="O20">
        <v>17.5</v>
      </c>
      <c r="P20" s="23">
        <f t="shared" si="2"/>
        <v>0.23972602739726026</v>
      </c>
      <c r="Q20" s="40">
        <f>P20/P77</f>
        <v>1.6042770602129719E-2</v>
      </c>
      <c r="R20" s="23">
        <f t="shared" si="3"/>
        <v>0.76883561643835618</v>
      </c>
      <c r="S20" s="40">
        <f>R20/R77</f>
        <v>1.475128525170909E-2</v>
      </c>
      <c r="T20" s="40">
        <f t="shared" si="4"/>
        <v>1.4999370084095312E-2</v>
      </c>
      <c r="U20" s="34">
        <v>7597</v>
      </c>
      <c r="V20" s="34">
        <f t="shared" si="5"/>
        <v>104.06849315068493</v>
      </c>
      <c r="W20" s="34"/>
      <c r="X20" s="40">
        <f>V20/V77</f>
        <v>1.3363855738839907E-3</v>
      </c>
      <c r="Y20" s="48">
        <f t="shared" si="6"/>
        <v>9.5341762800107838E-3</v>
      </c>
      <c r="Z20" s="48">
        <v>-0.19500000000000001</v>
      </c>
      <c r="AA20" s="137">
        <v>-8.2000000000000003E-2</v>
      </c>
      <c r="AB20" s="137">
        <f t="shared" si="17"/>
        <v>0.20295639948907623</v>
      </c>
      <c r="AC20" s="61"/>
      <c r="AD20" s="40"/>
      <c r="AE20" s="40"/>
      <c r="AF20" s="37"/>
      <c r="AG20" s="37"/>
      <c r="AH20" s="23"/>
      <c r="AI20" s="23"/>
      <c r="AJ20" s="23"/>
      <c r="AK20" s="23"/>
      <c r="AL20" s="23"/>
      <c r="AM20" s="23"/>
      <c r="AN20" s="26"/>
      <c r="AS20">
        <v>191</v>
      </c>
      <c r="AT20">
        <v>191</v>
      </c>
      <c r="AU20">
        <f t="shared" si="18"/>
        <v>0</v>
      </c>
      <c r="AV20">
        <v>165</v>
      </c>
      <c r="AW20" s="119">
        <v>166.42225999999999</v>
      </c>
      <c r="AX20">
        <f t="shared" si="9"/>
        <v>26</v>
      </c>
      <c r="AY20" s="119">
        <f t="shared" si="10"/>
        <v>24.577740000000006</v>
      </c>
      <c r="AZ20" s="23">
        <v>0.161</v>
      </c>
      <c r="BA20" s="23">
        <f t="shared" si="11"/>
        <v>0.15463835597826092</v>
      </c>
      <c r="BB20" s="119">
        <v>40</v>
      </c>
      <c r="BC20" s="119">
        <v>23</v>
      </c>
      <c r="BD20" s="119">
        <f t="shared" si="12"/>
        <v>17</v>
      </c>
      <c r="BE20" s="23">
        <v>0.51500000000000001</v>
      </c>
      <c r="BF20" s="23">
        <v>0.249</v>
      </c>
      <c r="BG20" s="23">
        <f t="shared" si="13"/>
        <v>0.24472876698369569</v>
      </c>
      <c r="BH20" s="34">
        <v>40800</v>
      </c>
      <c r="BI20" s="77">
        <v>161493.44</v>
      </c>
      <c r="BJ20" s="34">
        <v>149727</v>
      </c>
      <c r="BK20" s="34">
        <v>140068.21</v>
      </c>
      <c r="BL20">
        <f t="shared" si="14"/>
        <v>-108927</v>
      </c>
      <c r="BM20" s="34">
        <f t="shared" si="15"/>
        <v>21425.23000000001</v>
      </c>
      <c r="BN20" s="23">
        <v>-0.57899999999999996</v>
      </c>
      <c r="BO20" s="23">
        <f t="shared" si="16"/>
        <v>0.14029784824714706</v>
      </c>
    </row>
    <row r="21" spans="1:67" x14ac:dyDescent="0.25">
      <c r="A21" s="7" t="s">
        <v>52</v>
      </c>
      <c r="B21" s="7" t="s">
        <v>56</v>
      </c>
      <c r="C21" s="10">
        <f t="shared" si="0"/>
        <v>90</v>
      </c>
      <c r="D21">
        <v>0</v>
      </c>
      <c r="E21">
        <v>0</v>
      </c>
      <c r="F21">
        <v>0</v>
      </c>
      <c r="G21" s="8">
        <v>90</v>
      </c>
      <c r="H21">
        <v>0</v>
      </c>
      <c r="I21">
        <v>0</v>
      </c>
      <c r="J21">
        <v>0</v>
      </c>
      <c r="L21">
        <v>102.5</v>
      </c>
      <c r="M21" s="26">
        <f t="shared" si="1"/>
        <v>1.1388888888888888</v>
      </c>
      <c r="N21" s="23">
        <f>M21/M77</f>
        <v>1.7653844100189855E-2</v>
      </c>
      <c r="O21">
        <v>16</v>
      </c>
      <c r="P21" s="23">
        <f t="shared" si="2"/>
        <v>0.17777777777777778</v>
      </c>
      <c r="Q21" s="40">
        <f>P21/P77</f>
        <v>1.1897114960817469E-2</v>
      </c>
      <c r="R21" s="23">
        <f t="shared" si="3"/>
        <v>0.89861111111111103</v>
      </c>
      <c r="S21" s="40">
        <f>R21/R77</f>
        <v>1.7241226273780549E-2</v>
      </c>
      <c r="T21" s="40">
        <f t="shared" si="4"/>
        <v>1.6214661815346757E-2</v>
      </c>
      <c r="U21" s="34">
        <v>132415</v>
      </c>
      <c r="V21" s="72">
        <f t="shared" si="5"/>
        <v>1471.2777777777778</v>
      </c>
      <c r="W21" s="72"/>
      <c r="X21" s="40">
        <f>V21/V77</f>
        <v>1.8893272477303834E-2</v>
      </c>
      <c r="Y21" s="48">
        <f t="shared" si="6"/>
        <v>1.7286106080129586E-2</v>
      </c>
      <c r="Z21" s="47">
        <v>0.89500000000000002</v>
      </c>
      <c r="AA21" s="137">
        <v>-0.246</v>
      </c>
      <c r="AB21" s="137">
        <f t="shared" si="17"/>
        <v>-0.18850953418037075</v>
      </c>
      <c r="AC21" s="70"/>
      <c r="AD21" s="40"/>
      <c r="AE21" s="40" t="e">
        <f>C21*AL21</f>
        <v>#REF!</v>
      </c>
      <c r="AF21" s="37"/>
      <c r="AG21" s="37"/>
      <c r="AH21" s="23"/>
      <c r="AI21" s="23"/>
      <c r="AJ21" s="23"/>
      <c r="AK21" s="23"/>
      <c r="AL21" s="23" t="e">
        <f>Z21/#REF!</f>
        <v>#REF!</v>
      </c>
      <c r="AM21" s="23"/>
      <c r="AN21" s="26"/>
      <c r="AS21">
        <v>197</v>
      </c>
      <c r="AT21">
        <v>197</v>
      </c>
      <c r="AU21">
        <f t="shared" si="18"/>
        <v>0</v>
      </c>
      <c r="AV21">
        <v>204</v>
      </c>
      <c r="AW21" s="119">
        <v>205.17813000000001</v>
      </c>
      <c r="AX21">
        <f t="shared" si="9"/>
        <v>-7</v>
      </c>
      <c r="AY21" s="119">
        <f t="shared" si="10"/>
        <v>-8.1781300000000101</v>
      </c>
      <c r="AZ21" s="23">
        <v>-0.13400000000000001</v>
      </c>
      <c r="BA21" s="23">
        <f t="shared" si="11"/>
        <v>-0.13742248110064448</v>
      </c>
      <c r="BB21" s="119">
        <v>44</v>
      </c>
      <c r="BC21" s="119">
        <v>29</v>
      </c>
      <c r="BD21" s="119">
        <f t="shared" si="12"/>
        <v>15</v>
      </c>
      <c r="BE21" s="23">
        <v>0.435</v>
      </c>
      <c r="BF21" s="23">
        <v>8.0000000000000002E-3</v>
      </c>
      <c r="BG21" s="23">
        <f t="shared" si="13"/>
        <v>5.683139174516641E-3</v>
      </c>
      <c r="BH21" s="34">
        <v>62700</v>
      </c>
      <c r="BI21" s="77">
        <v>87700</v>
      </c>
      <c r="BJ21" s="34">
        <v>180720</v>
      </c>
      <c r="BK21" s="34">
        <v>169969.85</v>
      </c>
      <c r="BL21">
        <f t="shared" si="14"/>
        <v>-118020</v>
      </c>
      <c r="BM21" s="34">
        <f t="shared" si="15"/>
        <v>-82269.850000000006</v>
      </c>
      <c r="BN21" s="23">
        <v>-0.628</v>
      </c>
      <c r="BO21" s="23">
        <f t="shared" si="16"/>
        <v>-0.47979854421270179</v>
      </c>
    </row>
    <row r="22" spans="1:67" x14ac:dyDescent="0.25">
      <c r="A22" s="9" t="s">
        <v>52</v>
      </c>
      <c r="B22" s="9" t="s">
        <v>57</v>
      </c>
      <c r="C22" s="10">
        <f t="shared" si="0"/>
        <v>65</v>
      </c>
      <c r="D22">
        <v>0</v>
      </c>
      <c r="E22">
        <v>0</v>
      </c>
      <c r="F22">
        <v>0</v>
      </c>
      <c r="G22" s="8">
        <v>65</v>
      </c>
      <c r="H22">
        <v>0</v>
      </c>
      <c r="I22">
        <v>0</v>
      </c>
      <c r="J22">
        <v>0</v>
      </c>
      <c r="L22">
        <v>16.5</v>
      </c>
      <c r="M22" s="23">
        <f t="shared" si="1"/>
        <v>0.25384615384615383</v>
      </c>
      <c r="N22" s="23">
        <f>M22/M77</f>
        <v>3.9348530564775885E-3</v>
      </c>
      <c r="O22">
        <v>10</v>
      </c>
      <c r="P22" s="23">
        <f t="shared" si="2"/>
        <v>0.15384615384615385</v>
      </c>
      <c r="Q22" s="40">
        <f>P22/P77</f>
        <v>1.029558025455358E-2</v>
      </c>
      <c r="R22" s="23">
        <f t="shared" si="3"/>
        <v>0.22884615384615384</v>
      </c>
      <c r="S22" s="40">
        <f>R22/R77</f>
        <v>4.3907628912659537E-3</v>
      </c>
      <c r="T22" s="40">
        <f t="shared" si="4"/>
        <v>5.525034855996586E-3</v>
      </c>
      <c r="U22" s="34">
        <v>0</v>
      </c>
      <c r="V22" s="34">
        <f t="shared" si="5"/>
        <v>0</v>
      </c>
      <c r="W22" s="34"/>
      <c r="X22" s="40">
        <f>V22/V77</f>
        <v>0</v>
      </c>
      <c r="Y22" s="48">
        <f t="shared" si="6"/>
        <v>3.3150209135979513E-3</v>
      </c>
      <c r="Z22" s="48">
        <v>-0.68500000000000005</v>
      </c>
      <c r="AA22" s="137">
        <v>-0.66600000000000004</v>
      </c>
      <c r="AB22" s="137">
        <f t="shared" si="17"/>
        <v>-0.67511825883005616</v>
      </c>
      <c r="AC22" s="61"/>
      <c r="AD22" s="40"/>
      <c r="AE22" s="40"/>
      <c r="AF22" s="37"/>
      <c r="AG22" s="37"/>
      <c r="AH22" s="23"/>
      <c r="AI22" s="23"/>
      <c r="AJ22" s="23"/>
      <c r="AK22" s="23"/>
      <c r="AL22" s="23"/>
      <c r="AM22" s="23"/>
      <c r="AN22" s="26"/>
      <c r="AS22">
        <v>70</v>
      </c>
      <c r="AT22">
        <v>70</v>
      </c>
      <c r="AU22">
        <f t="shared" si="18"/>
        <v>0</v>
      </c>
      <c r="AV22">
        <v>147</v>
      </c>
      <c r="AW22" s="119">
        <v>148.1842</v>
      </c>
      <c r="AX22">
        <f t="shared" si="9"/>
        <v>-77</v>
      </c>
      <c r="AY22" s="119">
        <f t="shared" si="10"/>
        <v>-78.184200000000004</v>
      </c>
      <c r="AZ22" s="23">
        <v>-0.76</v>
      </c>
      <c r="BA22" s="23">
        <f t="shared" si="11"/>
        <v>-0.7616169050254078</v>
      </c>
      <c r="BB22" s="119">
        <v>19</v>
      </c>
      <c r="BC22" s="119">
        <v>21</v>
      </c>
      <c r="BD22" s="119">
        <f t="shared" si="12"/>
        <v>-2</v>
      </c>
      <c r="BE22" s="23">
        <v>-0.24199999999999999</v>
      </c>
      <c r="BF22" s="23">
        <v>-0.63</v>
      </c>
      <c r="BG22" s="23">
        <f t="shared" si="13"/>
        <v>-0.6317126787690559</v>
      </c>
      <c r="BH22" s="34">
        <v>0</v>
      </c>
      <c r="BI22" s="77">
        <v>0</v>
      </c>
      <c r="BJ22" s="34">
        <v>134897</v>
      </c>
      <c r="BK22" s="34">
        <v>125819.71</v>
      </c>
      <c r="BL22">
        <f t="shared" si="14"/>
        <v>-134897</v>
      </c>
      <c r="BM22" s="34">
        <f t="shared" si="15"/>
        <v>-125819.71</v>
      </c>
      <c r="BN22" s="23">
        <v>-0.72</v>
      </c>
      <c r="BO22" s="23">
        <f t="shared" si="16"/>
        <v>-0.74022662892155655</v>
      </c>
    </row>
    <row r="23" spans="1:67" x14ac:dyDescent="0.25">
      <c r="A23" s="9" t="s">
        <v>52</v>
      </c>
      <c r="B23" s="9" t="s">
        <v>59</v>
      </c>
      <c r="C23" s="10">
        <f t="shared" si="0"/>
        <v>27</v>
      </c>
      <c r="D23">
        <v>0</v>
      </c>
      <c r="E23">
        <v>0</v>
      </c>
      <c r="F23">
        <v>0</v>
      </c>
      <c r="G23" s="8">
        <v>27</v>
      </c>
      <c r="H23">
        <v>0</v>
      </c>
      <c r="I23">
        <v>0</v>
      </c>
      <c r="J23">
        <v>0</v>
      </c>
      <c r="L23">
        <v>12.5</v>
      </c>
      <c r="M23" s="23">
        <f t="shared" si="1"/>
        <v>0.46296296296296297</v>
      </c>
      <c r="N23" s="23">
        <f>M23/M77</f>
        <v>7.1763593903210804E-3</v>
      </c>
      <c r="O23">
        <v>0.5</v>
      </c>
      <c r="P23" s="23">
        <f t="shared" si="2"/>
        <v>1.8518518518518517E-2</v>
      </c>
      <c r="Q23" s="40">
        <f>P23/P77</f>
        <v>1.2392828084184862E-3</v>
      </c>
      <c r="R23" s="23">
        <f t="shared" si="3"/>
        <v>0.35185185185185186</v>
      </c>
      <c r="S23" s="40">
        <f>R23/R77</f>
        <v>6.7508150273432347E-3</v>
      </c>
      <c r="T23" s="40">
        <f t="shared" si="4"/>
        <v>5.6920902448454316E-3</v>
      </c>
      <c r="U23" s="34">
        <v>133821</v>
      </c>
      <c r="V23" s="72">
        <f t="shared" si="5"/>
        <v>4956.333333333333</v>
      </c>
      <c r="W23" s="72"/>
      <c r="X23" s="40">
        <f>V23/V77</f>
        <v>6.3646279152293331E-2</v>
      </c>
      <c r="Y23" s="47">
        <f t="shared" si="6"/>
        <v>2.8873765807824595E-2</v>
      </c>
      <c r="Z23" s="48">
        <v>9.9000000000000005E-2</v>
      </c>
      <c r="AA23" s="137">
        <v>-0.312</v>
      </c>
      <c r="AB23" s="137">
        <f t="shared" si="17"/>
        <v>-0.30818200234013771</v>
      </c>
      <c r="AC23" s="70"/>
      <c r="AD23" s="40">
        <f>C23*AK23</f>
        <v>0</v>
      </c>
      <c r="AE23" s="40"/>
      <c r="AF23" s="37"/>
      <c r="AG23" s="37"/>
      <c r="AH23" s="23"/>
      <c r="AI23" s="23"/>
      <c r="AJ23" s="23"/>
      <c r="AK23" s="23"/>
      <c r="AL23" s="23"/>
      <c r="AM23" s="23"/>
      <c r="AN23" s="26"/>
      <c r="AS23">
        <v>26</v>
      </c>
      <c r="AT23">
        <v>26</v>
      </c>
      <c r="AU23">
        <f t="shared" si="18"/>
        <v>0</v>
      </c>
      <c r="AV23">
        <v>61</v>
      </c>
      <c r="AW23" s="119">
        <v>61.553440000000002</v>
      </c>
      <c r="AX23">
        <f t="shared" si="9"/>
        <v>-35</v>
      </c>
      <c r="AY23" s="119">
        <f t="shared" si="10"/>
        <v>-35.553440000000002</v>
      </c>
      <c r="AZ23" s="23">
        <v>-0.38400000000000001</v>
      </c>
      <c r="BA23" s="23">
        <f t="shared" si="11"/>
        <v>-0.38150868470001531</v>
      </c>
      <c r="BB23" s="119">
        <v>5</v>
      </c>
      <c r="BC23" s="119">
        <v>9</v>
      </c>
      <c r="BD23" s="119">
        <f t="shared" si="12"/>
        <v>-4</v>
      </c>
      <c r="BE23" s="23">
        <v>-0.32200000000000001</v>
      </c>
      <c r="BF23" s="23">
        <v>-0.36899999999999999</v>
      </c>
      <c r="BG23" s="23">
        <f t="shared" si="13"/>
        <v>-0.3666315135250115</v>
      </c>
      <c r="BH23" s="34">
        <v>16950</v>
      </c>
      <c r="BI23" s="77">
        <v>16950</v>
      </c>
      <c r="BJ23" s="34">
        <v>61253</v>
      </c>
      <c r="BK23" s="34">
        <v>55860.17</v>
      </c>
      <c r="BL23">
        <f t="shared" si="14"/>
        <v>-44303</v>
      </c>
      <c r="BM23" s="34">
        <f t="shared" si="15"/>
        <v>-38910.17</v>
      </c>
      <c r="BN23" s="23">
        <v>-0.22800000000000001</v>
      </c>
      <c r="BO23" s="23">
        <f t="shared" si="16"/>
        <v>-0.22050773556282696</v>
      </c>
    </row>
    <row r="24" spans="1:67" x14ac:dyDescent="0.25">
      <c r="A24" s="7" t="s">
        <v>60</v>
      </c>
      <c r="B24" s="7" t="s">
        <v>62</v>
      </c>
      <c r="C24" s="10">
        <f t="shared" si="0"/>
        <v>107</v>
      </c>
      <c r="D24">
        <v>0</v>
      </c>
      <c r="E24">
        <v>0</v>
      </c>
      <c r="F24">
        <v>0</v>
      </c>
      <c r="G24" s="8">
        <v>107</v>
      </c>
      <c r="H24">
        <v>0</v>
      </c>
      <c r="I24">
        <v>0</v>
      </c>
      <c r="J24">
        <v>0</v>
      </c>
      <c r="L24">
        <v>56.5</v>
      </c>
      <c r="M24" s="23">
        <f t="shared" si="1"/>
        <v>0.5280373831775701</v>
      </c>
      <c r="N24" s="23">
        <f>M24/M77</f>
        <v>8.1850738317269592E-3</v>
      </c>
      <c r="O24">
        <v>12</v>
      </c>
      <c r="P24" s="23">
        <f t="shared" si="2"/>
        <v>0.11214953271028037</v>
      </c>
      <c r="Q24" s="40">
        <f>P24/P77</f>
        <v>7.5051893444409261E-3</v>
      </c>
      <c r="R24" s="23">
        <f t="shared" si="3"/>
        <v>0.4240654205607477</v>
      </c>
      <c r="S24" s="40">
        <f>R24/R77</f>
        <v>8.1363426073525636E-3</v>
      </c>
      <c r="T24" s="40">
        <f t="shared" si="4"/>
        <v>8.01510270990545E-3</v>
      </c>
      <c r="U24" s="34">
        <v>160731</v>
      </c>
      <c r="V24" s="72">
        <f t="shared" si="5"/>
        <v>1502.1588785046729</v>
      </c>
      <c r="W24" s="72"/>
      <c r="X24" s="40">
        <f>V24/V77</f>
        <v>1.9289829170570507E-2</v>
      </c>
      <c r="Y24" s="48">
        <f t="shared" si="6"/>
        <v>1.2524993294171474E-2</v>
      </c>
      <c r="Z24" s="48">
        <v>0.01</v>
      </c>
      <c r="AA24" s="137">
        <v>-0.39500000000000002</v>
      </c>
      <c r="AB24" s="137">
        <f t="shared" si="17"/>
        <v>-0.37943048544168245</v>
      </c>
      <c r="AC24" s="61"/>
      <c r="AD24" s="40"/>
      <c r="AE24" s="40"/>
      <c r="AF24" s="37"/>
      <c r="AG24" s="37"/>
      <c r="AH24" s="23"/>
      <c r="AI24" s="23"/>
      <c r="AJ24" s="23"/>
      <c r="AK24" s="23"/>
      <c r="AL24" s="23"/>
      <c r="AM24" s="23"/>
      <c r="AN24" s="26"/>
      <c r="AS24">
        <v>227</v>
      </c>
      <c r="AT24">
        <v>227</v>
      </c>
      <c r="AU24">
        <f t="shared" si="18"/>
        <v>0</v>
      </c>
      <c r="AV24">
        <v>242</v>
      </c>
      <c r="AW24" s="119">
        <v>243.93398999999999</v>
      </c>
      <c r="AX24">
        <f t="shared" si="9"/>
        <v>-15</v>
      </c>
      <c r="AY24" s="119">
        <f t="shared" si="10"/>
        <v>-16.933989999999994</v>
      </c>
      <c r="AZ24" s="23">
        <v>-0.20599999999999999</v>
      </c>
      <c r="BA24" s="23">
        <f t="shared" si="11"/>
        <v>-0.21549226831575122</v>
      </c>
      <c r="BB24" s="119">
        <v>7</v>
      </c>
      <c r="BC24" s="119">
        <v>34</v>
      </c>
      <c r="BD24" s="119">
        <f t="shared" si="12"/>
        <v>-27</v>
      </c>
      <c r="BE24" s="23">
        <v>-1.238</v>
      </c>
      <c r="BF24" s="23">
        <v>-0.46400000000000002</v>
      </c>
      <c r="BG24" s="23">
        <f t="shared" si="13"/>
        <v>-0.47111920123681339</v>
      </c>
      <c r="BH24" s="34">
        <v>154957</v>
      </c>
      <c r="BI24" s="77">
        <v>156957</v>
      </c>
      <c r="BJ24" s="34">
        <v>211120</v>
      </c>
      <c r="BK24" s="34">
        <v>199444.04</v>
      </c>
      <c r="BL24">
        <f t="shared" si="14"/>
        <v>-56163</v>
      </c>
      <c r="BM24" s="34">
        <f t="shared" si="15"/>
        <v>-42487.040000000008</v>
      </c>
      <c r="BN24" s="23">
        <v>-0.29199999999999998</v>
      </c>
      <c r="BO24" s="23">
        <f t="shared" si="16"/>
        <v>-0.24189741174898607</v>
      </c>
    </row>
    <row r="25" spans="1:67" x14ac:dyDescent="0.25">
      <c r="A25" s="9" t="s">
        <v>60</v>
      </c>
      <c r="B25" s="9" t="s">
        <v>64</v>
      </c>
      <c r="C25" s="10">
        <f t="shared" si="0"/>
        <v>24</v>
      </c>
      <c r="D25">
        <v>0</v>
      </c>
      <c r="E25">
        <v>0</v>
      </c>
      <c r="F25">
        <v>0</v>
      </c>
      <c r="G25" s="8">
        <v>24</v>
      </c>
      <c r="H25">
        <v>0</v>
      </c>
      <c r="I25">
        <v>0</v>
      </c>
      <c r="J25">
        <v>0</v>
      </c>
      <c r="L25">
        <v>30.5</v>
      </c>
      <c r="M25" s="25">
        <f t="shared" si="1"/>
        <v>1.2708333333333333</v>
      </c>
      <c r="N25" s="23">
        <f>M25/M77</f>
        <v>1.9699106526431365E-2</v>
      </c>
      <c r="O25">
        <v>13</v>
      </c>
      <c r="P25" s="23">
        <f t="shared" si="2"/>
        <v>0.54166666666666663</v>
      </c>
      <c r="Q25" s="40">
        <f>P25/P77</f>
        <v>3.624902214624072E-2</v>
      </c>
      <c r="R25" s="23">
        <f t="shared" si="3"/>
        <v>1.0885416666666667</v>
      </c>
      <c r="S25" s="42">
        <f>R25/R77</f>
        <v>2.0885333990843132E-2</v>
      </c>
      <c r="T25" s="42">
        <f t="shared" si="4"/>
        <v>2.3836585431383703E-2</v>
      </c>
      <c r="U25" s="34">
        <v>204898</v>
      </c>
      <c r="V25" s="72">
        <f t="shared" si="5"/>
        <v>8537.4166666666661</v>
      </c>
      <c r="W25" s="72"/>
      <c r="X25" s="40">
        <f>V25/V77</f>
        <v>0.10963241732586756</v>
      </c>
      <c r="Y25" s="47">
        <f t="shared" si="6"/>
        <v>5.815491818917725E-2</v>
      </c>
      <c r="Z25" s="47">
        <v>0.75800000000000001</v>
      </c>
      <c r="AA25" s="139">
        <v>1.1439999999999999</v>
      </c>
      <c r="AB25" s="139">
        <f t="shared" si="17"/>
        <v>1.2988722818398049</v>
      </c>
      <c r="AC25" s="67">
        <f>AH25*AM$3</f>
        <v>115587.98312816861</v>
      </c>
      <c r="AD25" s="40">
        <f>C25*AK25</f>
        <v>0</v>
      </c>
      <c r="AE25" s="40" t="e">
        <f>C25*AL25</f>
        <v>#REF!</v>
      </c>
      <c r="AF25" s="37">
        <f>AI25*AN$3</f>
        <v>130326.9630330787</v>
      </c>
      <c r="AG25" s="37">
        <f>AF25-AC25</f>
        <v>14738.979904910098</v>
      </c>
      <c r="AH25" s="23">
        <f>C25*AM25</f>
        <v>1.9551377910702841</v>
      </c>
      <c r="AI25" s="23">
        <f>C25*AN25</f>
        <v>2.1689364967173983</v>
      </c>
      <c r="AJ25" s="23"/>
      <c r="AK25" s="23"/>
      <c r="AL25" s="23" t="e">
        <f>Z25/#REF!</f>
        <v>#REF!</v>
      </c>
      <c r="AM25" s="23">
        <f>AA25/AO$2</f>
        <v>8.1464074627928498E-2</v>
      </c>
      <c r="AN25" s="26">
        <f>AB25/AR$2</f>
        <v>9.0372354029891591E-2</v>
      </c>
      <c r="AS25">
        <v>61</v>
      </c>
      <c r="AT25">
        <v>61</v>
      </c>
      <c r="AU25">
        <f t="shared" si="18"/>
        <v>0</v>
      </c>
      <c r="AV25">
        <v>54</v>
      </c>
      <c r="AW25" s="119">
        <v>54.714170000000003</v>
      </c>
      <c r="AX25">
        <f t="shared" si="9"/>
        <v>7</v>
      </c>
      <c r="AY25" s="119">
        <f t="shared" si="10"/>
        <v>6.2858299999999971</v>
      </c>
      <c r="AZ25" s="23">
        <v>-8.9999999999999993E-3</v>
      </c>
      <c r="BA25" s="23">
        <f t="shared" si="11"/>
        <v>-8.457618769837659E-3</v>
      </c>
      <c r="BB25" s="119">
        <v>16</v>
      </c>
      <c r="BC25" s="119">
        <v>8</v>
      </c>
      <c r="BD25" s="119">
        <f t="shared" si="12"/>
        <v>8</v>
      </c>
      <c r="BE25" s="23">
        <v>0.156</v>
      </c>
      <c r="BF25" s="23">
        <v>3.2000000000000001E-2</v>
      </c>
      <c r="BG25" s="23">
        <f t="shared" si="13"/>
        <v>3.2656785922621757E-2</v>
      </c>
      <c r="BH25" s="34">
        <v>571008</v>
      </c>
      <c r="BI25" s="77">
        <v>582878</v>
      </c>
      <c r="BJ25" s="34">
        <v>55101</v>
      </c>
      <c r="BK25" s="34">
        <v>50098.49</v>
      </c>
      <c r="BL25">
        <f t="shared" si="14"/>
        <v>515907</v>
      </c>
      <c r="BM25" s="34">
        <f t="shared" si="15"/>
        <v>532779.51</v>
      </c>
      <c r="BN25" s="23">
        <v>2.8130000000000002</v>
      </c>
      <c r="BO25" s="23">
        <f t="shared" si="16"/>
        <v>3.1981955257155796</v>
      </c>
    </row>
    <row r="26" spans="1:67" x14ac:dyDescent="0.25">
      <c r="A26" s="9" t="s">
        <v>60</v>
      </c>
      <c r="B26" s="9" t="s">
        <v>67</v>
      </c>
      <c r="C26" s="32">
        <f t="shared" si="0"/>
        <v>1</v>
      </c>
      <c r="D26">
        <v>0</v>
      </c>
      <c r="E26">
        <v>0</v>
      </c>
      <c r="F26">
        <v>0</v>
      </c>
      <c r="G26" s="8">
        <v>1</v>
      </c>
      <c r="H26">
        <v>0</v>
      </c>
      <c r="I26">
        <v>0</v>
      </c>
      <c r="J26">
        <v>0</v>
      </c>
      <c r="L26">
        <v>0</v>
      </c>
      <c r="M26" s="23">
        <f t="shared" si="1"/>
        <v>0</v>
      </c>
      <c r="N26" s="23">
        <f>M26/M77</f>
        <v>0</v>
      </c>
      <c r="O26">
        <v>0</v>
      </c>
      <c r="P26" s="23">
        <f t="shared" si="2"/>
        <v>0</v>
      </c>
      <c r="Q26" s="40">
        <f>P26/P77</f>
        <v>0</v>
      </c>
      <c r="R26" s="23">
        <f t="shared" si="3"/>
        <v>0</v>
      </c>
      <c r="S26" s="40">
        <f>R26/R77</f>
        <v>0</v>
      </c>
      <c r="T26" s="40">
        <f t="shared" si="4"/>
        <v>0</v>
      </c>
      <c r="U26" s="34">
        <v>0</v>
      </c>
      <c r="V26" s="34">
        <f t="shared" si="5"/>
        <v>0</v>
      </c>
      <c r="W26" s="34"/>
      <c r="X26" s="40">
        <f>V26/V77</f>
        <v>0</v>
      </c>
      <c r="Y26" s="48">
        <f t="shared" si="6"/>
        <v>0</v>
      </c>
      <c r="Z26" s="48"/>
      <c r="AA26" s="23"/>
      <c r="AC26" s="61"/>
      <c r="AD26" s="40"/>
      <c r="AE26" s="40"/>
      <c r="AF26" s="37"/>
      <c r="AG26" s="37"/>
      <c r="AH26" s="23"/>
      <c r="AI26" s="23"/>
      <c r="AJ26" s="23"/>
      <c r="AK26" s="23"/>
      <c r="AL26" s="23"/>
      <c r="AM26" s="23"/>
      <c r="AN26" s="26"/>
      <c r="BD26" s="119"/>
      <c r="BH26" s="34"/>
      <c r="BI26" s="77">
        <v>0</v>
      </c>
      <c r="BJ26" s="34"/>
      <c r="BO26" s="23"/>
    </row>
    <row r="27" spans="1:67" x14ac:dyDescent="0.25">
      <c r="A27" s="7" t="s">
        <v>68</v>
      </c>
      <c r="B27" s="7" t="s">
        <v>69</v>
      </c>
      <c r="C27" s="32">
        <f t="shared" si="0"/>
        <v>4</v>
      </c>
      <c r="D27" s="8">
        <v>0</v>
      </c>
      <c r="E27" s="8">
        <v>0</v>
      </c>
      <c r="F27" s="8">
        <v>0</v>
      </c>
      <c r="G27" s="8">
        <v>3</v>
      </c>
      <c r="H27" s="8">
        <v>0</v>
      </c>
      <c r="I27" s="8">
        <v>0</v>
      </c>
      <c r="J27" s="8">
        <v>1</v>
      </c>
      <c r="K27" s="8"/>
      <c r="L27" s="8">
        <v>0</v>
      </c>
      <c r="M27" s="23">
        <f t="shared" si="1"/>
        <v>0</v>
      </c>
      <c r="N27" s="23">
        <f>M27/M77</f>
        <v>0</v>
      </c>
      <c r="O27" s="8">
        <v>0</v>
      </c>
      <c r="P27" s="23">
        <f t="shared" si="2"/>
        <v>0</v>
      </c>
      <c r="Q27" s="40">
        <f>P27/P77</f>
        <v>0</v>
      </c>
      <c r="R27" s="23">
        <f t="shared" si="3"/>
        <v>0</v>
      </c>
      <c r="S27" s="40">
        <f>R27/R77</f>
        <v>0</v>
      </c>
      <c r="T27" s="40">
        <f t="shared" si="4"/>
        <v>0</v>
      </c>
      <c r="U27" s="34">
        <v>0</v>
      </c>
      <c r="V27" s="34">
        <f t="shared" si="5"/>
        <v>0</v>
      </c>
      <c r="W27" s="34"/>
      <c r="X27" s="40">
        <f>V27/V77</f>
        <v>0</v>
      </c>
      <c r="Y27" s="48">
        <f t="shared" si="6"/>
        <v>0</v>
      </c>
      <c r="Z27" s="48"/>
      <c r="AA27" s="23"/>
      <c r="AC27" s="61"/>
      <c r="AD27" s="40"/>
      <c r="AE27" s="40"/>
      <c r="AF27" s="37"/>
      <c r="AG27" s="37"/>
      <c r="AH27" s="23"/>
      <c r="AI27" s="23"/>
      <c r="AJ27" s="23"/>
      <c r="AK27" s="23"/>
      <c r="AL27" s="23"/>
      <c r="AM27" s="23"/>
      <c r="AN27" s="26"/>
      <c r="BD27" s="119"/>
      <c r="BH27" s="34"/>
      <c r="BI27" s="77">
        <v>0</v>
      </c>
      <c r="BJ27" s="34"/>
      <c r="BO27" s="23"/>
    </row>
    <row r="28" spans="1:67" x14ac:dyDescent="0.25">
      <c r="A28" s="9" t="s">
        <v>68</v>
      </c>
      <c r="B28" s="9" t="s">
        <v>70</v>
      </c>
      <c r="C28" s="10">
        <f t="shared" si="0"/>
        <v>31</v>
      </c>
      <c r="D28" s="8">
        <v>0</v>
      </c>
      <c r="E28" s="8">
        <v>0</v>
      </c>
      <c r="F28" s="8">
        <v>0</v>
      </c>
      <c r="G28" s="8">
        <v>20</v>
      </c>
      <c r="H28" s="8">
        <v>0</v>
      </c>
      <c r="I28" s="8">
        <v>0</v>
      </c>
      <c r="J28" s="8">
        <v>11</v>
      </c>
      <c r="K28" s="8"/>
      <c r="L28" s="8">
        <v>34.5</v>
      </c>
      <c r="M28" s="26">
        <f t="shared" si="1"/>
        <v>1.1129032258064515</v>
      </c>
      <c r="N28" s="23">
        <f>M28/M77</f>
        <v>1.7251041992475059E-2</v>
      </c>
      <c r="O28" s="8">
        <v>3</v>
      </c>
      <c r="P28" s="23">
        <f t="shared" si="2"/>
        <v>9.6774193548387094E-2</v>
      </c>
      <c r="Q28" s="40">
        <f>P28/P77</f>
        <v>6.4762520956062834E-3</v>
      </c>
      <c r="R28" s="23">
        <f t="shared" si="3"/>
        <v>0.85887096774193539</v>
      </c>
      <c r="S28" s="40">
        <f>R28/R77</f>
        <v>1.6478750943230449E-2</v>
      </c>
      <c r="T28" s="40">
        <f t="shared" si="4"/>
        <v>1.4557344518257865E-2</v>
      </c>
      <c r="U28" s="34">
        <v>0</v>
      </c>
      <c r="V28" s="34">
        <f t="shared" si="5"/>
        <v>0</v>
      </c>
      <c r="W28" s="34"/>
      <c r="X28" s="40">
        <f>V28/V77</f>
        <v>0</v>
      </c>
      <c r="Y28" s="48">
        <f t="shared" si="6"/>
        <v>8.7344067109547188E-3</v>
      </c>
      <c r="Z28" s="48">
        <v>-7.4999999999999997E-2</v>
      </c>
      <c r="AA28" s="139">
        <v>0.50800000000000001</v>
      </c>
      <c r="AB28" s="139">
        <f t="shared" ref="AB28:AB67" si="19">(0.6*BG28)+(0.4*BO28)</f>
        <v>0.5132860065581315</v>
      </c>
      <c r="AC28" s="67">
        <f>AH28*AM$3</f>
        <v>66298.06083560604</v>
      </c>
      <c r="AD28" s="40"/>
      <c r="AE28" s="40"/>
      <c r="AF28" s="37">
        <f>AI28*AN$3</f>
        <v>66523.900112528776</v>
      </c>
      <c r="AG28" s="37">
        <f>AF28-AC28</f>
        <v>225.83927692273573</v>
      </c>
      <c r="AH28" s="23">
        <f>C28*AM28</f>
        <v>1.121412803532009</v>
      </c>
      <c r="AI28" s="23">
        <f>C28*AN28</f>
        <v>1.1071087018380423</v>
      </c>
      <c r="AJ28" s="23"/>
      <c r="AK28" s="23"/>
      <c r="AL28" s="23"/>
      <c r="AM28" s="23">
        <f>AA28/AO$2</f>
        <v>3.6174606565548675E-2</v>
      </c>
      <c r="AN28" s="26">
        <f>AB28/AR$2</f>
        <v>3.5713183930259428E-2</v>
      </c>
      <c r="AS28">
        <v>251</v>
      </c>
      <c r="AT28">
        <v>253</v>
      </c>
      <c r="AU28">
        <f t="shared" ref="AU28:AU67" si="20">AS28-AT28</f>
        <v>-2</v>
      </c>
      <c r="AV28">
        <v>70</v>
      </c>
      <c r="AW28" s="119">
        <v>70.672470000000004</v>
      </c>
      <c r="AX28">
        <f t="shared" si="9"/>
        <v>181</v>
      </c>
      <c r="AY28" s="119">
        <f t="shared" si="9"/>
        <v>182.32753</v>
      </c>
      <c r="AZ28" s="23">
        <v>1.546</v>
      </c>
      <c r="BA28" s="23">
        <f t="shared" ref="BA28:BA74" si="21">(AY28-AY$76)/AY$77</f>
        <v>1.5611812356642993</v>
      </c>
      <c r="BB28" s="119">
        <v>7</v>
      </c>
      <c r="BC28" s="119">
        <v>10</v>
      </c>
      <c r="BD28" s="119">
        <f t="shared" si="12"/>
        <v>-3</v>
      </c>
      <c r="BE28" s="23">
        <v>-0.28199999999999997</v>
      </c>
      <c r="BF28" s="23">
        <v>1.089</v>
      </c>
      <c r="BG28" s="23">
        <f t="shared" ref="BG28:BG74" si="22">(0.75*BA28)+(0.25*BE28)</f>
        <v>1.1003859267482246</v>
      </c>
      <c r="BH28" s="34">
        <v>0</v>
      </c>
      <c r="BI28" s="77">
        <v>0</v>
      </c>
      <c r="BJ28" s="34">
        <v>69350</v>
      </c>
      <c r="BK28" s="34">
        <v>63468.06</v>
      </c>
      <c r="BL28">
        <f t="shared" si="14"/>
        <v>-69350</v>
      </c>
      <c r="BM28" s="34">
        <f t="shared" si="14"/>
        <v>-63468.06</v>
      </c>
      <c r="BN28" s="23">
        <v>-0.36399999999999999</v>
      </c>
      <c r="BO28" s="23">
        <f t="shared" ref="BO28:BO74" si="23">(BM28-BM$76)/BM$77</f>
        <v>-0.36736387372700785</v>
      </c>
    </row>
    <row r="29" spans="1:67" x14ac:dyDescent="0.25">
      <c r="A29" s="9" t="s">
        <v>68</v>
      </c>
      <c r="B29" s="9" t="s">
        <v>73</v>
      </c>
      <c r="C29" s="10">
        <f t="shared" si="0"/>
        <v>7</v>
      </c>
      <c r="D29" s="8">
        <v>0</v>
      </c>
      <c r="E29" s="8">
        <v>0</v>
      </c>
      <c r="F29" s="8">
        <v>0</v>
      </c>
      <c r="G29" s="8">
        <v>7</v>
      </c>
      <c r="H29" s="8">
        <v>0</v>
      </c>
      <c r="I29" s="8">
        <v>0</v>
      </c>
      <c r="J29" s="8">
        <v>0</v>
      </c>
      <c r="K29" s="8"/>
      <c r="L29" s="8">
        <v>0.5</v>
      </c>
      <c r="M29" s="23">
        <f t="shared" si="1"/>
        <v>7.1428571428571425E-2</v>
      </c>
      <c r="N29" s="23">
        <f>M29/M77</f>
        <v>1.1072097345066808E-3</v>
      </c>
      <c r="O29" s="8">
        <v>0</v>
      </c>
      <c r="P29" s="23">
        <f t="shared" si="2"/>
        <v>0</v>
      </c>
      <c r="Q29" s="40">
        <f>P29/P77</f>
        <v>0</v>
      </c>
      <c r="R29" s="23">
        <f t="shared" si="3"/>
        <v>5.3571428571428568E-2</v>
      </c>
      <c r="S29" s="40">
        <f>R29/R77</f>
        <v>1.0278496564188006E-3</v>
      </c>
      <c r="T29" s="40">
        <f t="shared" si="4"/>
        <v>8.304073008800106E-4</v>
      </c>
      <c r="U29" s="34">
        <v>0</v>
      </c>
      <c r="V29" s="34">
        <f t="shared" si="5"/>
        <v>0</v>
      </c>
      <c r="W29" s="34"/>
      <c r="X29" s="40">
        <f>V29/V77</f>
        <v>0</v>
      </c>
      <c r="Y29" s="48">
        <f t="shared" si="6"/>
        <v>4.9824438052800636E-4</v>
      </c>
      <c r="Z29" s="48">
        <v>-0.38900000000000001</v>
      </c>
      <c r="AA29" s="139">
        <v>0.77500000000000002</v>
      </c>
      <c r="AB29" s="139">
        <f t="shared" si="19"/>
        <v>0.77771687007282997</v>
      </c>
      <c r="AC29" s="67">
        <f>AH29*AM$3</f>
        <v>22838.898909903655</v>
      </c>
      <c r="AD29" s="40"/>
      <c r="AE29" s="40"/>
      <c r="AF29" s="37">
        <f>AI29*AN$3</f>
        <v>22760.203676720099</v>
      </c>
      <c r="AG29" s="37">
        <f>AF29-AC29</f>
        <v>-78.695233183556411</v>
      </c>
      <c r="AH29" s="23">
        <f>C29*AM29</f>
        <v>0.38631346578366449</v>
      </c>
      <c r="AI29" s="23">
        <f>C29*AN29</f>
        <v>0.37878145303386024</v>
      </c>
      <c r="AJ29" s="23"/>
      <c r="AK29" s="23"/>
      <c r="AL29" s="23"/>
      <c r="AM29" s="23">
        <f>AA29/AO$2</f>
        <v>5.5187637969094927E-2</v>
      </c>
      <c r="AN29" s="26">
        <f>AB29/AR$2</f>
        <v>5.411163614769432E-2</v>
      </c>
      <c r="AS29">
        <v>221</v>
      </c>
      <c r="AT29">
        <v>221</v>
      </c>
      <c r="AU29">
        <f t="shared" si="20"/>
        <v>0</v>
      </c>
      <c r="AV29">
        <v>16</v>
      </c>
      <c r="AW29" s="119">
        <v>15.958299999999999</v>
      </c>
      <c r="AX29">
        <f t="shared" si="9"/>
        <v>205</v>
      </c>
      <c r="AY29" s="119">
        <f t="shared" si="9"/>
        <v>205.04169999999999</v>
      </c>
      <c r="AZ29" s="23">
        <v>1.76</v>
      </c>
      <c r="BA29" s="23">
        <f t="shared" si="21"/>
        <v>1.763707363156946</v>
      </c>
      <c r="BB29" s="119">
        <v>9</v>
      </c>
      <c r="BC29" s="119">
        <v>2</v>
      </c>
      <c r="BD29" s="119">
        <f t="shared" si="12"/>
        <v>7</v>
      </c>
      <c r="BE29" s="23">
        <v>0.11700000000000001</v>
      </c>
      <c r="BF29" s="23">
        <v>1.349</v>
      </c>
      <c r="BG29" s="23">
        <f t="shared" si="22"/>
        <v>1.3520305223677094</v>
      </c>
      <c r="BH29" s="34">
        <v>0</v>
      </c>
      <c r="BI29" s="77">
        <v>0</v>
      </c>
      <c r="BJ29" s="34">
        <v>18209</v>
      </c>
      <c r="BK29" s="34">
        <v>16041.58</v>
      </c>
      <c r="BL29">
        <f t="shared" si="14"/>
        <v>-18209</v>
      </c>
      <c r="BM29" s="34">
        <f t="shared" si="14"/>
        <v>-16041.58</v>
      </c>
      <c r="BN29" s="23">
        <v>-8.5999999999999993E-2</v>
      </c>
      <c r="BO29" s="23">
        <f t="shared" si="23"/>
        <v>-8.3753608369488849E-2</v>
      </c>
    </row>
    <row r="30" spans="1:67" x14ac:dyDescent="0.25">
      <c r="A30" s="7" t="s">
        <v>83</v>
      </c>
      <c r="B30" s="7" t="s">
        <v>86</v>
      </c>
      <c r="C30" s="10">
        <f t="shared" si="0"/>
        <v>10</v>
      </c>
      <c r="D30">
        <v>0</v>
      </c>
      <c r="E30">
        <v>0</v>
      </c>
      <c r="F30">
        <v>0</v>
      </c>
      <c r="G30">
        <v>10</v>
      </c>
      <c r="H30">
        <v>0</v>
      </c>
      <c r="I30">
        <v>0</v>
      </c>
      <c r="J30">
        <v>0</v>
      </c>
      <c r="L30" s="8">
        <v>26</v>
      </c>
      <c r="M30" s="25">
        <f t="shared" si="1"/>
        <v>2.6</v>
      </c>
      <c r="N30" s="23">
        <f>M30/M77</f>
        <v>4.0302434336043184E-2</v>
      </c>
      <c r="O30" s="8">
        <v>1</v>
      </c>
      <c r="P30" s="23">
        <f t="shared" si="2"/>
        <v>0.1</v>
      </c>
      <c r="Q30" s="40">
        <f>P30/P77</f>
        <v>6.6921271654598264E-3</v>
      </c>
      <c r="R30" s="23">
        <f t="shared" si="3"/>
        <v>1.9750000000000001</v>
      </c>
      <c r="S30" s="42">
        <f>R30/R77</f>
        <v>3.7893390666639784E-2</v>
      </c>
      <c r="T30" s="42">
        <f t="shared" si="4"/>
        <v>3.1899857543397345E-2</v>
      </c>
      <c r="U30" s="34">
        <v>0</v>
      </c>
      <c r="V30" s="34">
        <f t="shared" si="5"/>
        <v>0</v>
      </c>
      <c r="W30" s="34"/>
      <c r="X30" s="40">
        <f>V30/V77</f>
        <v>0</v>
      </c>
      <c r="Y30" s="47">
        <f t="shared" si="6"/>
        <v>1.9139914526038405E-2</v>
      </c>
      <c r="Z30" s="48">
        <v>-0.15</v>
      </c>
      <c r="AA30" s="137">
        <v>7.0000000000000001E-3</v>
      </c>
      <c r="AB30" s="137">
        <f t="shared" si="19"/>
        <v>1.1382587802485002E-2</v>
      </c>
      <c r="AC30" s="70"/>
      <c r="AD30" s="40">
        <f>C30*AK30</f>
        <v>0</v>
      </c>
      <c r="AE30" s="40"/>
      <c r="AF30" s="37"/>
      <c r="AG30" s="37"/>
      <c r="AH30" s="23"/>
      <c r="AI30" s="23"/>
      <c r="AJ30" s="23"/>
      <c r="AK30" s="23"/>
      <c r="AL30" s="23"/>
      <c r="AM30" s="23"/>
      <c r="AN30" s="26"/>
      <c r="AS30">
        <v>54</v>
      </c>
      <c r="AT30">
        <v>54</v>
      </c>
      <c r="AU30">
        <f t="shared" si="20"/>
        <v>0</v>
      </c>
      <c r="AV30">
        <v>23</v>
      </c>
      <c r="AW30" s="119">
        <v>22.79757</v>
      </c>
      <c r="AX30">
        <f t="shared" si="9"/>
        <v>31</v>
      </c>
      <c r="AY30" s="119">
        <f t="shared" si="9"/>
        <v>31.20243</v>
      </c>
      <c r="AZ30" s="23">
        <v>0.20499999999999999</v>
      </c>
      <c r="BA30" s="23">
        <f t="shared" si="21"/>
        <v>0.2137060133718289</v>
      </c>
      <c r="BB30" s="119">
        <v>1</v>
      </c>
      <c r="BC30" s="119">
        <v>3</v>
      </c>
      <c r="BD30" s="119">
        <f t="shared" si="12"/>
        <v>-2</v>
      </c>
      <c r="BE30" s="23">
        <v>-0.24199999999999999</v>
      </c>
      <c r="BF30" s="23">
        <v>9.4E-2</v>
      </c>
      <c r="BG30" s="23">
        <f t="shared" si="22"/>
        <v>9.9779510028871671E-2</v>
      </c>
      <c r="BH30" s="34">
        <v>0</v>
      </c>
      <c r="BI30" s="77">
        <v>0</v>
      </c>
      <c r="BJ30" s="34">
        <v>25089</v>
      </c>
      <c r="BK30" s="34">
        <v>22305.66</v>
      </c>
      <c r="BL30">
        <f t="shared" si="14"/>
        <v>-25089</v>
      </c>
      <c r="BM30" s="34">
        <f t="shared" si="14"/>
        <v>-22305.66</v>
      </c>
      <c r="BN30" s="23">
        <v>-0.124</v>
      </c>
      <c r="BO30" s="23">
        <f t="shared" si="23"/>
        <v>-0.12121279553709498</v>
      </c>
    </row>
    <row r="31" spans="1:67" x14ac:dyDescent="0.25">
      <c r="A31" s="7" t="s">
        <v>83</v>
      </c>
      <c r="B31" s="7" t="s">
        <v>89</v>
      </c>
      <c r="C31" s="10">
        <f t="shared" si="0"/>
        <v>64</v>
      </c>
      <c r="D31">
        <v>0</v>
      </c>
      <c r="E31">
        <v>0</v>
      </c>
      <c r="F31">
        <v>0</v>
      </c>
      <c r="G31">
        <v>64</v>
      </c>
      <c r="H31">
        <v>0</v>
      </c>
      <c r="I31">
        <v>0</v>
      </c>
      <c r="J31">
        <v>0</v>
      </c>
      <c r="L31" s="8">
        <v>139.5</v>
      </c>
      <c r="M31" s="25">
        <f t="shared" si="1"/>
        <v>2.1796875</v>
      </c>
      <c r="N31" s="23">
        <f>M31/M77</f>
        <v>3.3787197054555435E-2</v>
      </c>
      <c r="O31" s="8">
        <v>9.5</v>
      </c>
      <c r="P31" s="23">
        <f t="shared" si="2"/>
        <v>0.1484375</v>
      </c>
      <c r="Q31" s="40">
        <f>P31/P77</f>
        <v>9.9336262612294297E-3</v>
      </c>
      <c r="R31" s="23">
        <f t="shared" si="3"/>
        <v>1.671875</v>
      </c>
      <c r="S31" s="42">
        <f>R31/R77</f>
        <v>3.2077474694070074E-2</v>
      </c>
      <c r="T31" s="42">
        <f t="shared" si="4"/>
        <v>2.7823804356223933E-2</v>
      </c>
      <c r="U31" s="34">
        <v>666789</v>
      </c>
      <c r="V31" s="72">
        <f t="shared" si="5"/>
        <v>10418.578125</v>
      </c>
      <c r="W31" s="72"/>
      <c r="X31" s="40">
        <f>V31/V77</f>
        <v>0.13378917177625801</v>
      </c>
      <c r="Y31" s="47">
        <f t="shared" si="6"/>
        <v>7.0209951324237574E-2</v>
      </c>
      <c r="Z31" s="47">
        <v>3.637</v>
      </c>
      <c r="AA31" s="139">
        <v>2.0179999999999998</v>
      </c>
      <c r="AB31" s="139">
        <f t="shared" si="19"/>
        <v>2.2418567078996845</v>
      </c>
      <c r="AC31" s="67">
        <f>AH31*AM$3</f>
        <v>543721.56166117545</v>
      </c>
      <c r="AD31" s="40">
        <f>C31*AK31</f>
        <v>0</v>
      </c>
      <c r="AE31" s="40" t="e">
        <f>C31*AL31</f>
        <v>#REF!</v>
      </c>
      <c r="AF31" s="37">
        <f>AI31*AN$3</f>
        <v>599852.41121536074</v>
      </c>
      <c r="AG31" s="37">
        <f>AF31-AC31</f>
        <v>56130.84955418529</v>
      </c>
      <c r="AH31" s="23">
        <f>C31*AM31</f>
        <v>9.1968952503026422</v>
      </c>
      <c r="AI31" s="23">
        <f>C31*AN31</f>
        <v>9.9829057399174346</v>
      </c>
      <c r="AJ31" s="23"/>
      <c r="AK31" s="23"/>
      <c r="AL31" s="23" t="e">
        <f>Z31/#REF!</f>
        <v>#REF!</v>
      </c>
      <c r="AM31" s="23">
        <f>AA31/AO$2</f>
        <v>0.14370148828597878</v>
      </c>
      <c r="AN31" s="26">
        <f>AB31/AR$2</f>
        <v>0.15598290218620992</v>
      </c>
      <c r="AS31">
        <v>193</v>
      </c>
      <c r="AT31">
        <v>193</v>
      </c>
      <c r="AU31">
        <f t="shared" si="20"/>
        <v>0</v>
      </c>
      <c r="AV31">
        <v>145</v>
      </c>
      <c r="AW31" s="119">
        <v>145.90443999999999</v>
      </c>
      <c r="AX31">
        <f t="shared" si="9"/>
        <v>48</v>
      </c>
      <c r="AY31" s="119">
        <f t="shared" si="9"/>
        <v>47.095560000000006</v>
      </c>
      <c r="AZ31" s="23">
        <v>0.35699999999999998</v>
      </c>
      <c r="BA31" s="23">
        <f t="shared" si="21"/>
        <v>0.35541376992367335</v>
      </c>
      <c r="BB31" s="119">
        <v>0</v>
      </c>
      <c r="BC31" s="119">
        <v>20</v>
      </c>
      <c r="BD31" s="119">
        <f t="shared" si="12"/>
        <v>-20</v>
      </c>
      <c r="BE31" s="23">
        <v>-0.95899999999999996</v>
      </c>
      <c r="BF31" s="23">
        <v>2.8000000000000001E-2</v>
      </c>
      <c r="BG31" s="23">
        <f t="shared" si="22"/>
        <v>2.681032744275505E-2</v>
      </c>
      <c r="BH31" s="34">
        <v>1052450</v>
      </c>
      <c r="BI31" s="77">
        <v>1052500</v>
      </c>
      <c r="BJ31" s="34">
        <v>133030</v>
      </c>
      <c r="BK31" s="34">
        <v>124029.61</v>
      </c>
      <c r="BL31">
        <f t="shared" si="14"/>
        <v>919420</v>
      </c>
      <c r="BM31" s="34">
        <f t="shared" si="14"/>
        <v>928470.39</v>
      </c>
      <c r="BN31" s="23">
        <v>5.0030000000000001</v>
      </c>
      <c r="BO31" s="23">
        <f t="shared" si="23"/>
        <v>5.5644262785850787</v>
      </c>
    </row>
    <row r="32" spans="1:67" x14ac:dyDescent="0.25">
      <c r="A32" s="9" t="s">
        <v>92</v>
      </c>
      <c r="B32" s="9" t="s">
        <v>93</v>
      </c>
      <c r="C32" s="10">
        <f t="shared" si="0"/>
        <v>22</v>
      </c>
      <c r="D32" s="11">
        <v>0</v>
      </c>
      <c r="E32" s="11">
        <v>0</v>
      </c>
      <c r="F32" s="11">
        <v>0</v>
      </c>
      <c r="G32" s="11">
        <v>22</v>
      </c>
      <c r="H32" s="11">
        <v>0</v>
      </c>
      <c r="I32" s="11">
        <v>0</v>
      </c>
      <c r="J32" s="11">
        <v>0</v>
      </c>
      <c r="K32" s="11"/>
      <c r="L32" s="33">
        <v>44.5</v>
      </c>
      <c r="M32" s="25">
        <f t="shared" si="1"/>
        <v>2.0227272727272729</v>
      </c>
      <c r="N32" s="23">
        <f>M32/M77</f>
        <v>3.1354166572621016E-2</v>
      </c>
      <c r="O32" s="33">
        <v>3</v>
      </c>
      <c r="P32" s="23">
        <f t="shared" si="2"/>
        <v>0.13636363636363635</v>
      </c>
      <c r="Q32" s="40">
        <f>P32/P77</f>
        <v>9.1256279528997616E-3</v>
      </c>
      <c r="R32" s="23">
        <f t="shared" si="3"/>
        <v>1.5511363636363638</v>
      </c>
      <c r="S32" s="42">
        <f>R32/R77</f>
        <v>2.9760919597217095E-2</v>
      </c>
      <c r="T32" s="42">
        <f t="shared" si="4"/>
        <v>2.5797031917690699E-2</v>
      </c>
      <c r="U32" s="34">
        <v>0</v>
      </c>
      <c r="V32" s="34">
        <f t="shared" si="5"/>
        <v>0</v>
      </c>
      <c r="W32" s="34"/>
      <c r="X32" s="40">
        <f>V32/V77</f>
        <v>0</v>
      </c>
      <c r="Y32" s="48">
        <f t="shared" si="6"/>
        <v>1.5478219150614418E-2</v>
      </c>
      <c r="Z32" s="48">
        <v>0.13200000000000001</v>
      </c>
      <c r="AA32" s="137">
        <v>3.6999999999999998E-2</v>
      </c>
      <c r="AB32" s="137">
        <f t="shared" si="19"/>
        <v>3.9199888522520002E-2</v>
      </c>
      <c r="AC32" s="61"/>
      <c r="AD32" s="40"/>
      <c r="AE32" s="40"/>
      <c r="AF32" s="37"/>
      <c r="AG32" s="37"/>
      <c r="AH32" s="23"/>
      <c r="AI32" s="23"/>
      <c r="AJ32" s="23"/>
      <c r="AK32" s="23"/>
      <c r="AL32" s="23"/>
      <c r="AM32" s="23"/>
      <c r="AN32" s="26"/>
      <c r="AS32">
        <v>107</v>
      </c>
      <c r="AT32">
        <v>107</v>
      </c>
      <c r="AU32">
        <f t="shared" si="20"/>
        <v>0</v>
      </c>
      <c r="AV32">
        <v>50</v>
      </c>
      <c r="AW32" s="119">
        <v>50.154649999999997</v>
      </c>
      <c r="AX32">
        <f t="shared" si="9"/>
        <v>57</v>
      </c>
      <c r="AY32" s="119">
        <f t="shared" si="9"/>
        <v>56.845350000000003</v>
      </c>
      <c r="AZ32" s="23">
        <v>0.438</v>
      </c>
      <c r="BA32" s="23">
        <f t="shared" si="21"/>
        <v>0.44234572528750704</v>
      </c>
      <c r="BB32" s="119">
        <v>2</v>
      </c>
      <c r="BC32" s="119">
        <v>7</v>
      </c>
      <c r="BD32" s="119">
        <f t="shared" si="12"/>
        <v>-5</v>
      </c>
      <c r="BE32" s="23">
        <v>-0.36099999999999999</v>
      </c>
      <c r="BF32" s="23">
        <v>0.23799999999999999</v>
      </c>
      <c r="BG32" s="23">
        <f t="shared" si="22"/>
        <v>0.24150929396563031</v>
      </c>
      <c r="BH32" s="34">
        <v>0</v>
      </c>
      <c r="BI32" s="77">
        <v>0</v>
      </c>
      <c r="BJ32" s="34">
        <v>50957</v>
      </c>
      <c r="BK32" s="34">
        <v>46227.31</v>
      </c>
      <c r="BL32">
        <f t="shared" si="14"/>
        <v>-50957</v>
      </c>
      <c r="BM32" s="34">
        <f t="shared" si="14"/>
        <v>-46227.31</v>
      </c>
      <c r="BN32" s="23">
        <v>-0.26400000000000001</v>
      </c>
      <c r="BO32" s="23">
        <f t="shared" si="23"/>
        <v>-0.26426421964214541</v>
      </c>
    </row>
    <row r="33" spans="1:67" x14ac:dyDescent="0.25">
      <c r="A33" s="9" t="s">
        <v>92</v>
      </c>
      <c r="B33" s="9" t="s">
        <v>94</v>
      </c>
      <c r="C33" s="10">
        <f t="shared" si="0"/>
        <v>44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44</v>
      </c>
      <c r="K33" s="11"/>
      <c r="L33" s="33">
        <v>29.5</v>
      </c>
      <c r="M33" s="23">
        <f t="shared" si="1"/>
        <v>0.67045454545454541</v>
      </c>
      <c r="N33" s="23">
        <f>M33/M77</f>
        <v>1.0392673189801345E-2</v>
      </c>
      <c r="O33" s="33">
        <v>2.5</v>
      </c>
      <c r="P33" s="23">
        <f t="shared" si="2"/>
        <v>5.6818181818181816E-2</v>
      </c>
      <c r="Q33" s="40">
        <f>P33/P77</f>
        <v>3.8023449803749011E-3</v>
      </c>
      <c r="R33" s="23">
        <f t="shared" si="3"/>
        <v>0.51704545454545447</v>
      </c>
      <c r="S33" s="40">
        <f>R33/R77</f>
        <v>9.9203065324056962E-3</v>
      </c>
      <c r="T33" s="40">
        <f t="shared" si="4"/>
        <v>8.7450911374447327E-3</v>
      </c>
      <c r="U33" s="34">
        <v>37489</v>
      </c>
      <c r="V33" s="34">
        <f t="shared" si="5"/>
        <v>852.02272727272725</v>
      </c>
      <c r="W33" s="34"/>
      <c r="X33" s="40">
        <f>V33/V77</f>
        <v>1.0941168137218028E-2</v>
      </c>
      <c r="Y33" s="48">
        <f t="shared" si="6"/>
        <v>9.6235219373540515E-3</v>
      </c>
      <c r="Z33" s="48">
        <v>5.7000000000000002E-2</v>
      </c>
      <c r="AA33" s="137">
        <v>-0.37</v>
      </c>
      <c r="AB33" s="137">
        <f t="shared" si="19"/>
        <v>-0.37136001305039223</v>
      </c>
      <c r="AC33" s="61"/>
      <c r="AD33" s="40"/>
      <c r="AE33" s="40"/>
      <c r="AF33" s="37"/>
      <c r="AG33" s="37"/>
      <c r="AH33" s="23"/>
      <c r="AI33" s="23"/>
      <c r="AJ33" s="23"/>
      <c r="AK33" s="23"/>
      <c r="AL33" s="23"/>
      <c r="AM33" s="23"/>
      <c r="AN33" s="26"/>
      <c r="AS33">
        <v>90</v>
      </c>
      <c r="AT33">
        <v>90</v>
      </c>
      <c r="AU33">
        <f t="shared" si="20"/>
        <v>0</v>
      </c>
      <c r="AV33">
        <v>100</v>
      </c>
      <c r="AW33" s="119">
        <v>100.30931</v>
      </c>
      <c r="AX33">
        <f t="shared" si="9"/>
        <v>-10</v>
      </c>
      <c r="AY33" s="119">
        <f t="shared" si="9"/>
        <v>-10.309309999999996</v>
      </c>
      <c r="AZ33" s="23">
        <v>-0.161</v>
      </c>
      <c r="BA33" s="23">
        <f t="shared" si="21"/>
        <v>-0.15642470008508352</v>
      </c>
      <c r="BB33" s="119">
        <v>2</v>
      </c>
      <c r="BC33" s="119">
        <v>14</v>
      </c>
      <c r="BD33" s="119">
        <f t="shared" si="12"/>
        <v>-12</v>
      </c>
      <c r="BE33" s="23">
        <v>-0.64</v>
      </c>
      <c r="BF33" s="23">
        <v>-0.28100000000000003</v>
      </c>
      <c r="BG33" s="23">
        <f t="shared" si="22"/>
        <v>-0.27731852506381266</v>
      </c>
      <c r="BH33" s="34">
        <v>0</v>
      </c>
      <c r="BI33" s="77">
        <v>0</v>
      </c>
      <c r="BJ33" s="34">
        <v>94999</v>
      </c>
      <c r="BK33" s="34">
        <v>87725.32</v>
      </c>
      <c r="BL33">
        <f t="shared" si="14"/>
        <v>-94999</v>
      </c>
      <c r="BM33" s="34">
        <f t="shared" si="14"/>
        <v>-87725.32</v>
      </c>
      <c r="BN33" s="23">
        <v>-0.503</v>
      </c>
      <c r="BO33" s="23">
        <f t="shared" si="23"/>
        <v>-0.51242224503026157</v>
      </c>
    </row>
    <row r="34" spans="1:67" x14ac:dyDescent="0.25">
      <c r="A34" s="7" t="s">
        <v>92</v>
      </c>
      <c r="B34" s="7" t="s">
        <v>95</v>
      </c>
      <c r="C34" s="10">
        <f t="shared" si="0"/>
        <v>16</v>
      </c>
      <c r="D34" s="11">
        <v>9</v>
      </c>
      <c r="E34" s="11">
        <v>5</v>
      </c>
      <c r="F34" s="11">
        <v>0</v>
      </c>
      <c r="G34" s="11">
        <v>2</v>
      </c>
      <c r="H34" s="11">
        <v>0</v>
      </c>
      <c r="I34" s="11">
        <v>0</v>
      </c>
      <c r="J34" s="11">
        <v>0</v>
      </c>
      <c r="K34" s="11"/>
      <c r="L34" s="33">
        <v>9</v>
      </c>
      <c r="M34" s="23">
        <f t="shared" si="1"/>
        <v>0.5625</v>
      </c>
      <c r="N34" s="23">
        <f>M34/M77</f>
        <v>8.7192766592401119E-3</v>
      </c>
      <c r="O34" s="33">
        <v>1.5</v>
      </c>
      <c r="P34" s="23">
        <f t="shared" si="2"/>
        <v>9.375E-2</v>
      </c>
      <c r="Q34" s="40">
        <f>P34/P77</f>
        <v>6.2738692176185868E-3</v>
      </c>
      <c r="R34" s="23">
        <f t="shared" si="3"/>
        <v>0.4453125</v>
      </c>
      <c r="S34" s="40">
        <f>R34/R77</f>
        <v>8.5440002689812812E-3</v>
      </c>
      <c r="T34" s="40">
        <f t="shared" si="4"/>
        <v>8.10792479883473E-3</v>
      </c>
      <c r="U34" s="34"/>
      <c r="V34" s="34">
        <f t="shared" ref="V34:V73" si="24">U34/C34</f>
        <v>0</v>
      </c>
      <c r="W34" s="34"/>
      <c r="X34" s="40">
        <f>V34/V77</f>
        <v>0</v>
      </c>
      <c r="Y34" s="48">
        <f t="shared" si="6"/>
        <v>4.8647548793008377E-3</v>
      </c>
      <c r="Z34" s="48">
        <v>-0.25600000000000001</v>
      </c>
      <c r="AA34" s="137">
        <v>-0.193</v>
      </c>
      <c r="AB34" s="137">
        <f t="shared" si="19"/>
        <v>-0.19087261655873489</v>
      </c>
      <c r="AC34" s="61"/>
      <c r="AD34" s="40"/>
      <c r="AE34" s="40"/>
      <c r="AF34" s="37"/>
      <c r="AG34" s="37"/>
      <c r="AH34" s="23"/>
      <c r="AI34" s="23"/>
      <c r="AJ34" s="23"/>
      <c r="AK34" s="23"/>
      <c r="AL34" s="23"/>
      <c r="AM34" s="23"/>
      <c r="AN34" s="26"/>
      <c r="AS34">
        <v>26</v>
      </c>
      <c r="AT34">
        <v>26</v>
      </c>
      <c r="AU34">
        <f t="shared" si="20"/>
        <v>0</v>
      </c>
      <c r="AV34">
        <v>36</v>
      </c>
      <c r="AW34" s="119">
        <v>36.476109999999998</v>
      </c>
      <c r="AX34">
        <f t="shared" si="9"/>
        <v>-10</v>
      </c>
      <c r="AY34" s="119">
        <f t="shared" si="9"/>
        <v>-10.476109999999998</v>
      </c>
      <c r="AZ34" s="23">
        <v>-0.161</v>
      </c>
      <c r="BA34" s="23">
        <f t="shared" si="21"/>
        <v>-0.15791193726195477</v>
      </c>
      <c r="BB34" s="119">
        <v>2</v>
      </c>
      <c r="BC34" s="119">
        <v>5</v>
      </c>
      <c r="BD34" s="119">
        <f t="shared" si="12"/>
        <v>-3</v>
      </c>
      <c r="BE34" s="23">
        <v>-0.28199999999999997</v>
      </c>
      <c r="BF34" s="23">
        <v>-0.191</v>
      </c>
      <c r="BG34" s="23">
        <f t="shared" si="22"/>
        <v>-0.18893395294646609</v>
      </c>
      <c r="BH34" s="34">
        <v>0</v>
      </c>
      <c r="BI34" s="77">
        <v>0</v>
      </c>
      <c r="BJ34" s="34">
        <v>38275</v>
      </c>
      <c r="BK34" s="34">
        <v>34440.75</v>
      </c>
      <c r="BL34">
        <f t="shared" si="14"/>
        <v>-38275</v>
      </c>
      <c r="BM34" s="34">
        <f t="shared" si="14"/>
        <v>-34440.75</v>
      </c>
      <c r="BN34" s="23">
        <v>-0.19500000000000001</v>
      </c>
      <c r="BO34" s="23">
        <f t="shared" si="23"/>
        <v>-0.19378061197713808</v>
      </c>
    </row>
    <row r="35" spans="1:67" x14ac:dyDescent="0.25">
      <c r="A35" s="9" t="s">
        <v>92</v>
      </c>
      <c r="B35" s="9" t="s">
        <v>96</v>
      </c>
      <c r="C35" s="10">
        <f t="shared" ref="C35:C66" si="25">SUM(D35:J35)</f>
        <v>36</v>
      </c>
      <c r="D35" s="11">
        <v>0</v>
      </c>
      <c r="E35" s="11">
        <v>0</v>
      </c>
      <c r="F35" s="11">
        <v>0</v>
      </c>
      <c r="G35" s="11">
        <v>36</v>
      </c>
      <c r="H35" s="11">
        <v>0</v>
      </c>
      <c r="I35" s="11">
        <v>0</v>
      </c>
      <c r="J35" s="11">
        <v>0</v>
      </c>
      <c r="K35" s="11"/>
      <c r="L35" s="33">
        <v>192.5</v>
      </c>
      <c r="M35" s="25">
        <f t="shared" ref="M35:M66" si="26">L35/C35</f>
        <v>5.3472222222222223</v>
      </c>
      <c r="N35" s="23">
        <f>M35/M77</f>
        <v>8.2886950958208472E-2</v>
      </c>
      <c r="O35" s="33">
        <v>2</v>
      </c>
      <c r="P35" s="23">
        <f t="shared" ref="P35:P66" si="27">O35/C35</f>
        <v>5.5555555555555552E-2</v>
      </c>
      <c r="Q35" s="40">
        <f>P35/P77</f>
        <v>3.7178484252554586E-3</v>
      </c>
      <c r="R35" s="23">
        <f t="shared" ref="R35:R66" si="28">(0.75*M35)+(0.25*P35)</f>
        <v>4.0243055555555562</v>
      </c>
      <c r="S35" s="40">
        <f>R35/R77</f>
        <v>7.7212446875238261E-2</v>
      </c>
      <c r="T35" s="42">
        <f t="shared" ref="T35:T66" si="29">(0.75*N35)+(0.25*Q35)</f>
        <v>6.309467532497022E-2</v>
      </c>
      <c r="U35" s="34"/>
      <c r="V35" s="34">
        <f t="shared" si="24"/>
        <v>0</v>
      </c>
      <c r="W35" s="34"/>
      <c r="X35" s="40">
        <f>V35/V77</f>
        <v>0</v>
      </c>
      <c r="Y35" s="47">
        <f t="shared" ref="Y35:Y66" si="30">(0.6*T35)+(0.4*X35)</f>
        <v>3.7856805194982128E-2</v>
      </c>
      <c r="Z35" s="47">
        <v>2.1</v>
      </c>
      <c r="AA35" s="139">
        <v>1.1619999999999999</v>
      </c>
      <c r="AB35" s="139">
        <f t="shared" si="19"/>
        <v>1.1860188709813158</v>
      </c>
      <c r="AC35" s="67">
        <f>AH35*AM$3</f>
        <v>176110.01275559256</v>
      </c>
      <c r="AD35" s="40">
        <f>C35*AK35</f>
        <v>0</v>
      </c>
      <c r="AE35" s="40" t="e">
        <f>C35*AL35</f>
        <v>#REF!</v>
      </c>
      <c r="AF35" s="37">
        <f>AI35*AN$3</f>
        <v>178505.12292398672</v>
      </c>
      <c r="AG35" s="37">
        <f>AF35-AC35</f>
        <v>2395.110168394167</v>
      </c>
      <c r="AH35" s="23">
        <f>C35*AM35</f>
        <v>2.9788506729331337</v>
      </c>
      <c r="AI35" s="23">
        <f>C35*AN35</f>
        <v>2.9707304378955901</v>
      </c>
      <c r="AJ35" s="23"/>
      <c r="AK35" s="23"/>
      <c r="AL35" s="23" t="e">
        <f>Z35/#REF!</f>
        <v>#REF!</v>
      </c>
      <c r="AM35" s="23">
        <f>AA35/AO$2</f>
        <v>8.2745852025920386E-2</v>
      </c>
      <c r="AN35" s="26">
        <f>AB35/AR$2</f>
        <v>8.2520289941544173E-2</v>
      </c>
      <c r="AS35">
        <v>443</v>
      </c>
      <c r="AT35">
        <v>443</v>
      </c>
      <c r="AU35">
        <f t="shared" si="20"/>
        <v>0</v>
      </c>
      <c r="AV35">
        <v>82</v>
      </c>
      <c r="AW35" s="119">
        <v>82.071250000000006</v>
      </c>
      <c r="AX35">
        <f t="shared" si="9"/>
        <v>361</v>
      </c>
      <c r="AY35" s="119">
        <f t="shared" si="9"/>
        <v>360.92874999999998</v>
      </c>
      <c r="AZ35" s="23">
        <v>3.1539999999999999</v>
      </c>
      <c r="BA35" s="23">
        <f t="shared" si="21"/>
        <v>3.153641512753985</v>
      </c>
      <c r="BB35" s="119">
        <v>1</v>
      </c>
      <c r="BC35" s="119">
        <v>12</v>
      </c>
      <c r="BD35" s="119">
        <f t="shared" si="12"/>
        <v>-11</v>
      </c>
      <c r="BE35" s="23">
        <v>-0.6</v>
      </c>
      <c r="BF35" s="23">
        <v>2.2149999999999999</v>
      </c>
      <c r="BG35" s="23">
        <f t="shared" si="22"/>
        <v>2.2152311345654887</v>
      </c>
      <c r="BH35" s="34">
        <v>0</v>
      </c>
      <c r="BI35" s="77">
        <v>11006</v>
      </c>
      <c r="BJ35" s="34">
        <v>79324</v>
      </c>
      <c r="BK35" s="34">
        <v>72874.67</v>
      </c>
      <c r="BL35">
        <f t="shared" si="14"/>
        <v>-79324</v>
      </c>
      <c r="BM35" s="34">
        <f t="shared" si="14"/>
        <v>-61868.67</v>
      </c>
      <c r="BN35" s="23">
        <v>-0.41799999999999998</v>
      </c>
      <c r="BO35" s="23">
        <f t="shared" si="23"/>
        <v>-0.35779952439494356</v>
      </c>
    </row>
    <row r="36" spans="1:67" x14ac:dyDescent="0.25">
      <c r="A36" s="7" t="s">
        <v>92</v>
      </c>
      <c r="B36" s="7" t="s">
        <v>98</v>
      </c>
      <c r="C36" s="10">
        <f t="shared" si="25"/>
        <v>11</v>
      </c>
      <c r="D36" s="11">
        <v>0</v>
      </c>
      <c r="E36" s="11">
        <v>2</v>
      </c>
      <c r="F36" s="11">
        <v>0</v>
      </c>
      <c r="G36" s="11">
        <v>6</v>
      </c>
      <c r="H36" s="11">
        <v>0</v>
      </c>
      <c r="I36" s="11">
        <v>0</v>
      </c>
      <c r="J36" s="11">
        <v>3</v>
      </c>
      <c r="K36" s="11"/>
      <c r="L36" s="33">
        <v>5.5</v>
      </c>
      <c r="M36" s="23">
        <f t="shared" si="26"/>
        <v>0.5</v>
      </c>
      <c r="N36" s="23">
        <f>M36/M77</f>
        <v>7.7504681415467664E-3</v>
      </c>
      <c r="O36" s="33">
        <v>2.5</v>
      </c>
      <c r="P36" s="23">
        <f t="shared" si="27"/>
        <v>0.22727272727272727</v>
      </c>
      <c r="Q36" s="40">
        <f>P36/P77</f>
        <v>1.5209379921499604E-2</v>
      </c>
      <c r="R36" s="23">
        <f t="shared" si="28"/>
        <v>0.43181818181818182</v>
      </c>
      <c r="S36" s="40">
        <f>R36/R77</f>
        <v>8.2850911699212416E-3</v>
      </c>
      <c r="T36" s="40">
        <f t="shared" si="29"/>
        <v>9.6151960865349766E-3</v>
      </c>
      <c r="U36" s="34"/>
      <c r="V36" s="34">
        <f t="shared" si="24"/>
        <v>0</v>
      </c>
      <c r="W36" s="34"/>
      <c r="X36" s="40">
        <f>V36/V77</f>
        <v>0</v>
      </c>
      <c r="Y36" s="48">
        <f t="shared" si="30"/>
        <v>5.7691176519209858E-3</v>
      </c>
      <c r="Z36" s="48">
        <v>-0.30399999999999999</v>
      </c>
      <c r="AA36" s="137">
        <v>-0.12</v>
      </c>
      <c r="AB36" s="137">
        <f t="shared" si="19"/>
        <v>-7.4192347092241179E-2</v>
      </c>
      <c r="AC36" s="61"/>
      <c r="AD36" s="40"/>
      <c r="AE36" s="40"/>
      <c r="AF36" s="37"/>
      <c r="AG36" s="37"/>
      <c r="AH36" s="23"/>
      <c r="AI36" s="23"/>
      <c r="AJ36" s="23"/>
      <c r="AK36" s="23"/>
      <c r="AL36" s="23"/>
      <c r="AM36" s="23"/>
      <c r="AN36" s="26"/>
      <c r="AS36">
        <v>12</v>
      </c>
      <c r="AT36">
        <v>12</v>
      </c>
      <c r="AU36">
        <f t="shared" si="20"/>
        <v>0</v>
      </c>
      <c r="AV36">
        <v>25</v>
      </c>
      <c r="AW36" s="119">
        <v>25.07733</v>
      </c>
      <c r="AX36">
        <f t="shared" si="9"/>
        <v>-13</v>
      </c>
      <c r="AY36" s="119">
        <f t="shared" si="9"/>
        <v>-13.07733</v>
      </c>
      <c r="AZ36" s="23">
        <v>-0.188</v>
      </c>
      <c r="BA36" s="23">
        <f t="shared" si="21"/>
        <v>-0.18110516921172104</v>
      </c>
      <c r="BB36" s="119">
        <v>0</v>
      </c>
      <c r="BC36" s="119">
        <v>4</v>
      </c>
      <c r="BD36" s="119">
        <f t="shared" si="12"/>
        <v>-4</v>
      </c>
      <c r="BE36" s="23">
        <v>-0.32200000000000001</v>
      </c>
      <c r="BF36" s="23">
        <v>-0.221</v>
      </c>
      <c r="BG36" s="23">
        <f t="shared" si="22"/>
        <v>-0.21632887690879077</v>
      </c>
      <c r="BH36" s="34">
        <v>30946</v>
      </c>
      <c r="BI36" s="77">
        <v>45570</v>
      </c>
      <c r="BJ36" s="34">
        <v>27333</v>
      </c>
      <c r="BK36" s="34">
        <v>24359.72</v>
      </c>
      <c r="BL36">
        <f t="shared" si="14"/>
        <v>3613</v>
      </c>
      <c r="BM36" s="34">
        <f t="shared" si="14"/>
        <v>21210.28</v>
      </c>
      <c r="BN36" s="23">
        <v>3.2000000000000001E-2</v>
      </c>
      <c r="BO36" s="23">
        <f t="shared" si="23"/>
        <v>0.13901244763258316</v>
      </c>
    </row>
    <row r="37" spans="1:67" x14ac:dyDescent="0.25">
      <c r="A37" s="7" t="s">
        <v>99</v>
      </c>
      <c r="B37" s="7" t="s">
        <v>100</v>
      </c>
      <c r="C37" s="10">
        <f t="shared" si="25"/>
        <v>37</v>
      </c>
      <c r="D37">
        <v>3</v>
      </c>
      <c r="E37" s="8">
        <v>34</v>
      </c>
      <c r="F37" s="8">
        <v>0</v>
      </c>
      <c r="G37" s="8">
        <v>0</v>
      </c>
      <c r="H37" s="8">
        <v>0</v>
      </c>
      <c r="I37">
        <v>0</v>
      </c>
      <c r="J37">
        <v>0</v>
      </c>
      <c r="L37" s="33">
        <v>30.5</v>
      </c>
      <c r="M37" s="23">
        <f t="shared" si="26"/>
        <v>0.82432432432432434</v>
      </c>
      <c r="N37" s="23">
        <f>M37/M77</f>
        <v>1.277779882795548E-2</v>
      </c>
      <c r="O37" s="33">
        <v>6.5</v>
      </c>
      <c r="P37" s="23">
        <f t="shared" si="27"/>
        <v>0.17567567567567569</v>
      </c>
      <c r="Q37" s="40">
        <f>P37/P77</f>
        <v>1.1756439614996993E-2</v>
      </c>
      <c r="R37" s="23">
        <f t="shared" si="28"/>
        <v>0.66216216216216217</v>
      </c>
      <c r="S37" s="40">
        <f>R37/R77</f>
        <v>1.270459214960896E-2</v>
      </c>
      <c r="T37" s="40">
        <f t="shared" si="29"/>
        <v>1.2522459024715858E-2</v>
      </c>
      <c r="U37" s="34"/>
      <c r="V37" s="34">
        <f t="shared" si="24"/>
        <v>0</v>
      </c>
      <c r="W37" s="34"/>
      <c r="X37" s="40">
        <f>V37/V77</f>
        <v>0</v>
      </c>
      <c r="Y37" s="48">
        <f t="shared" si="30"/>
        <v>7.513475414829514E-3</v>
      </c>
      <c r="Z37" s="48">
        <v>-3.9E-2</v>
      </c>
      <c r="AA37" s="139">
        <v>0.33300000000000002</v>
      </c>
      <c r="AB37" s="248">
        <f t="shared" si="19"/>
        <v>8.334556742495107E-3</v>
      </c>
      <c r="AC37" s="67">
        <f>AH37*AM$3</f>
        <v>51870.612620999622</v>
      </c>
      <c r="AD37" s="40"/>
      <c r="AE37" s="40"/>
      <c r="AF37" s="37">
        <v>0</v>
      </c>
      <c r="AG37" s="37">
        <f>AF37-AC37</f>
        <v>-51870.612620999622</v>
      </c>
      <c r="AH37" s="23">
        <f>C37*AM37</f>
        <v>0.87737662892544332</v>
      </c>
      <c r="AI37" s="23"/>
      <c r="AJ37" s="23"/>
      <c r="AK37" s="23"/>
      <c r="AL37" s="23"/>
      <c r="AM37" s="23">
        <f>AA37/AO$2</f>
        <v>2.3712881862849821E-2</v>
      </c>
      <c r="AN37" s="26"/>
      <c r="AS37">
        <v>81</v>
      </c>
      <c r="AT37">
        <v>82</v>
      </c>
      <c r="AU37">
        <f t="shared" si="20"/>
        <v>-1</v>
      </c>
      <c r="AV37">
        <v>84</v>
      </c>
      <c r="AW37" s="119">
        <v>84.351010000000002</v>
      </c>
      <c r="AX37">
        <f t="shared" si="9"/>
        <v>-3</v>
      </c>
      <c r="AY37" s="119">
        <f t="shared" si="9"/>
        <v>-2.3510100000000023</v>
      </c>
      <c r="AZ37" s="23">
        <v>-9.8000000000000004E-2</v>
      </c>
      <c r="BA37" s="23">
        <f t="shared" si="21"/>
        <v>-8.5466189145668683E-2</v>
      </c>
      <c r="BB37" s="119">
        <v>30</v>
      </c>
      <c r="BC37" s="119">
        <v>12</v>
      </c>
      <c r="BD37" s="119">
        <f t="shared" si="12"/>
        <v>18</v>
      </c>
      <c r="BE37" s="23">
        <v>0.55500000000000005</v>
      </c>
      <c r="BF37" s="23">
        <v>6.5000000000000002E-2</v>
      </c>
      <c r="BG37" s="23">
        <f t="shared" si="22"/>
        <v>7.4650358140748496E-2</v>
      </c>
      <c r="BH37" s="34">
        <v>214422</v>
      </c>
      <c r="BI37" s="77">
        <v>57467.05</v>
      </c>
      <c r="BJ37" s="34">
        <v>81301</v>
      </c>
      <c r="BK37" s="34">
        <v>74743.67</v>
      </c>
      <c r="BL37">
        <f t="shared" si="14"/>
        <v>133121</v>
      </c>
      <c r="BM37" s="34">
        <f t="shared" si="14"/>
        <v>-17276.619999999995</v>
      </c>
      <c r="BN37" s="23">
        <v>0.73499999999999999</v>
      </c>
      <c r="BO37" s="23">
        <f t="shared" si="23"/>
        <v>-9.1139145354884973E-2</v>
      </c>
    </row>
    <row r="38" spans="1:67" x14ac:dyDescent="0.25">
      <c r="A38" s="9" t="s">
        <v>99</v>
      </c>
      <c r="B38" s="9" t="s">
        <v>101</v>
      </c>
      <c r="C38" s="10">
        <f t="shared" si="25"/>
        <v>53</v>
      </c>
      <c r="D38">
        <v>0</v>
      </c>
      <c r="E38" s="8">
        <v>0</v>
      </c>
      <c r="F38" s="8">
        <v>53</v>
      </c>
      <c r="G38" s="8">
        <v>0</v>
      </c>
      <c r="H38" s="8">
        <v>0</v>
      </c>
      <c r="I38">
        <v>0</v>
      </c>
      <c r="J38">
        <v>0</v>
      </c>
      <c r="L38" s="33">
        <v>2</v>
      </c>
      <c r="M38" s="23">
        <f t="shared" si="26"/>
        <v>3.7735849056603772E-2</v>
      </c>
      <c r="N38" s="23">
        <f>M38/M77</f>
        <v>5.8494099181485024E-4</v>
      </c>
      <c r="O38" s="33">
        <v>30.5</v>
      </c>
      <c r="P38" s="23">
        <f t="shared" si="27"/>
        <v>0.57547169811320753</v>
      </c>
      <c r="Q38" s="40">
        <f>P38/P77</f>
        <v>3.8511297838966924E-2</v>
      </c>
      <c r="R38" s="23">
        <f t="shared" si="28"/>
        <v>0.17216981132075471</v>
      </c>
      <c r="S38" s="40">
        <f>R38/R77</f>
        <v>3.3033407196855795E-3</v>
      </c>
      <c r="T38" s="40">
        <f t="shared" si="29"/>
        <v>1.0066530203602868E-2</v>
      </c>
      <c r="U38" s="34"/>
      <c r="V38" s="34">
        <f t="shared" si="24"/>
        <v>0</v>
      </c>
      <c r="W38" s="34"/>
      <c r="X38" s="40">
        <f>V38/V77</f>
        <v>0</v>
      </c>
      <c r="Y38" s="48">
        <f t="shared" si="30"/>
        <v>6.0399181221617209E-3</v>
      </c>
      <c r="Z38" s="48">
        <v>-0.35599999999999998</v>
      </c>
      <c r="AA38" s="137">
        <v>-0.76400000000000001</v>
      </c>
      <c r="AB38" s="137">
        <f t="shared" si="19"/>
        <v>-0.7683786377245212</v>
      </c>
      <c r="AC38" s="61"/>
      <c r="AD38" s="40"/>
      <c r="AE38" s="40"/>
      <c r="AF38" s="37"/>
      <c r="AG38" s="37"/>
      <c r="AH38" s="23"/>
      <c r="AI38" s="23"/>
      <c r="AJ38" s="23"/>
      <c r="AK38" s="23"/>
      <c r="AL38" s="23"/>
      <c r="AM38" s="23"/>
      <c r="AN38" s="26"/>
      <c r="AS38">
        <v>8</v>
      </c>
      <c r="AT38">
        <v>8</v>
      </c>
      <c r="AU38">
        <f t="shared" si="20"/>
        <v>0</v>
      </c>
      <c r="AV38">
        <v>120</v>
      </c>
      <c r="AW38" s="119">
        <v>120.82711999999999</v>
      </c>
      <c r="AX38">
        <f t="shared" si="9"/>
        <v>-112</v>
      </c>
      <c r="AY38" s="119">
        <f t="shared" si="9"/>
        <v>-112.82711999999999</v>
      </c>
      <c r="AZ38" s="23">
        <v>-1.0720000000000001</v>
      </c>
      <c r="BA38" s="23">
        <f t="shared" si="21"/>
        <v>-1.0705032272039225</v>
      </c>
      <c r="BB38" s="119">
        <v>14</v>
      </c>
      <c r="BC38" s="119">
        <v>17</v>
      </c>
      <c r="BD38" s="119">
        <f t="shared" si="12"/>
        <v>-3</v>
      </c>
      <c r="BE38" s="23">
        <v>-0.28199999999999997</v>
      </c>
      <c r="BF38" s="23">
        <v>-0.875</v>
      </c>
      <c r="BG38" s="23">
        <f t="shared" si="22"/>
        <v>-0.87337742040294186</v>
      </c>
      <c r="BH38" s="34">
        <v>0</v>
      </c>
      <c r="BI38" s="77">
        <v>0</v>
      </c>
      <c r="BJ38" s="34">
        <v>112292</v>
      </c>
      <c r="BK38" s="34">
        <v>104189.91</v>
      </c>
      <c r="BL38">
        <f t="shared" si="14"/>
        <v>-112292</v>
      </c>
      <c r="BM38" s="34">
        <f t="shared" si="14"/>
        <v>-104189.91</v>
      </c>
      <c r="BN38" s="23">
        <v>-0.59699999999999998</v>
      </c>
      <c r="BO38" s="23">
        <f t="shared" si="23"/>
        <v>-0.6108804637068902</v>
      </c>
    </row>
    <row r="39" spans="1:67" x14ac:dyDescent="0.25">
      <c r="A39" s="9" t="s">
        <v>99</v>
      </c>
      <c r="B39" s="9" t="s">
        <v>104</v>
      </c>
      <c r="C39" s="10">
        <f t="shared" si="25"/>
        <v>30</v>
      </c>
      <c r="D39">
        <v>0</v>
      </c>
      <c r="E39" s="8">
        <v>12</v>
      </c>
      <c r="F39" s="8">
        <v>11</v>
      </c>
      <c r="G39" s="8">
        <v>7</v>
      </c>
      <c r="H39" s="8">
        <v>0</v>
      </c>
      <c r="I39">
        <v>0</v>
      </c>
      <c r="J39">
        <v>0</v>
      </c>
      <c r="L39" s="33">
        <v>7</v>
      </c>
      <c r="M39" s="23">
        <f t="shared" si="26"/>
        <v>0.23333333333333334</v>
      </c>
      <c r="N39" s="23">
        <f>M39/M77</f>
        <v>3.6168851327218242E-3</v>
      </c>
      <c r="O39" s="33">
        <v>3</v>
      </c>
      <c r="P39" s="23">
        <f t="shared" si="27"/>
        <v>0.1</v>
      </c>
      <c r="Q39" s="40">
        <f>P39/P77</f>
        <v>6.6921271654598264E-3</v>
      </c>
      <c r="R39" s="23">
        <f t="shared" si="28"/>
        <v>0.19999999999999998</v>
      </c>
      <c r="S39" s="40">
        <f>R39/R77</f>
        <v>3.8373053839635225E-3</v>
      </c>
      <c r="T39" s="40">
        <f t="shared" si="29"/>
        <v>4.3856956409063248E-3</v>
      </c>
      <c r="U39" s="34"/>
      <c r="V39" s="34">
        <f t="shared" si="24"/>
        <v>0</v>
      </c>
      <c r="W39" s="34"/>
      <c r="X39" s="40">
        <f>V39/V77</f>
        <v>0</v>
      </c>
      <c r="Y39" s="48">
        <f t="shared" si="30"/>
        <v>2.6314173845437949E-3</v>
      </c>
      <c r="Z39" s="48">
        <v>-0.312</v>
      </c>
      <c r="AA39" s="137">
        <v>-0.38700000000000001</v>
      </c>
      <c r="AB39" s="137">
        <f t="shared" si="19"/>
        <v>-0.38983396355334859</v>
      </c>
      <c r="AC39" s="61"/>
      <c r="AD39" s="40"/>
      <c r="AE39" s="40"/>
      <c r="AF39" s="37"/>
      <c r="AG39" s="37"/>
      <c r="AH39" s="23"/>
      <c r="AI39" s="23"/>
      <c r="AJ39" s="23"/>
      <c r="AK39" s="23"/>
      <c r="AL39" s="23"/>
      <c r="AM39" s="23"/>
      <c r="AN39" s="26"/>
      <c r="AS39">
        <v>27</v>
      </c>
      <c r="AT39">
        <v>26</v>
      </c>
      <c r="AU39">
        <f t="shared" si="20"/>
        <v>1</v>
      </c>
      <c r="AV39">
        <v>68</v>
      </c>
      <c r="AW39" s="119">
        <v>68.392709999999994</v>
      </c>
      <c r="AX39">
        <f t="shared" si="9"/>
        <v>-41</v>
      </c>
      <c r="AY39" s="119">
        <f t="shared" si="9"/>
        <v>-42.392709999999994</v>
      </c>
      <c r="AZ39" s="23">
        <v>-0.438</v>
      </c>
      <c r="BA39" s="23">
        <f t="shared" si="21"/>
        <v>-0.44248959960804984</v>
      </c>
      <c r="BB39" s="119">
        <v>6</v>
      </c>
      <c r="BC39" s="119">
        <v>10</v>
      </c>
      <c r="BD39" s="119">
        <f t="shared" si="12"/>
        <v>-4</v>
      </c>
      <c r="BE39" s="23">
        <v>-0.32200000000000001</v>
      </c>
      <c r="BF39" s="23">
        <v>-0.40899999999999997</v>
      </c>
      <c r="BG39" s="23">
        <f t="shared" si="22"/>
        <v>-0.41236719970603741</v>
      </c>
      <c r="BH39" s="34">
        <v>0</v>
      </c>
      <c r="BI39" s="77">
        <v>0</v>
      </c>
      <c r="BJ39" s="34">
        <v>67336</v>
      </c>
      <c r="BK39" s="34">
        <v>61573.45</v>
      </c>
      <c r="BL39">
        <f t="shared" si="14"/>
        <v>-67336</v>
      </c>
      <c r="BM39" s="34">
        <f t="shared" si="14"/>
        <v>-61573.45</v>
      </c>
      <c r="BN39" s="23">
        <v>-0.35299999999999998</v>
      </c>
      <c r="BO39" s="23">
        <f t="shared" si="23"/>
        <v>-0.35603410932431534</v>
      </c>
    </row>
    <row r="40" spans="1:67" x14ac:dyDescent="0.25">
      <c r="A40" s="9" t="s">
        <v>99</v>
      </c>
      <c r="B40" s="9" t="s">
        <v>105</v>
      </c>
      <c r="C40" s="10">
        <f t="shared" si="25"/>
        <v>12</v>
      </c>
      <c r="D40">
        <v>0</v>
      </c>
      <c r="E40" s="8">
        <v>0</v>
      </c>
      <c r="F40" s="8">
        <v>0</v>
      </c>
      <c r="G40" s="8">
        <v>0</v>
      </c>
      <c r="H40" s="8">
        <v>12</v>
      </c>
      <c r="I40">
        <v>0</v>
      </c>
      <c r="J40">
        <v>0</v>
      </c>
      <c r="L40" s="33">
        <v>11</v>
      </c>
      <c r="M40" s="23">
        <f t="shared" si="26"/>
        <v>0.91666666666666663</v>
      </c>
      <c r="N40" s="23">
        <f>M40/M77</f>
        <v>1.4209191592835738E-2</v>
      </c>
      <c r="O40" s="33">
        <v>0.5</v>
      </c>
      <c r="P40" s="23">
        <f t="shared" si="27"/>
        <v>4.1666666666666664E-2</v>
      </c>
      <c r="Q40" s="40">
        <f>P40/P77</f>
        <v>2.788386318941594E-3</v>
      </c>
      <c r="R40" s="23">
        <f t="shared" si="28"/>
        <v>0.69791666666666663</v>
      </c>
      <c r="S40" s="40">
        <f>R40/R77</f>
        <v>1.3390596912789375E-2</v>
      </c>
      <c r="T40" s="40">
        <f t="shared" si="29"/>
        <v>1.1353990274362203E-2</v>
      </c>
      <c r="U40" s="34"/>
      <c r="V40" s="34">
        <f t="shared" si="24"/>
        <v>0</v>
      </c>
      <c r="W40" s="34"/>
      <c r="X40" s="40">
        <f>V40/V77</f>
        <v>0</v>
      </c>
      <c r="Y40" s="48">
        <f t="shared" si="30"/>
        <v>6.8123941646173218E-3</v>
      </c>
      <c r="Z40" s="48">
        <v>-0.19700000000000001</v>
      </c>
      <c r="AA40" s="137">
        <v>-0.20399999999999999</v>
      </c>
      <c r="AB40" s="137">
        <f t="shared" si="19"/>
        <v>-0.20123470650414488</v>
      </c>
      <c r="AC40" s="61"/>
      <c r="AD40" s="40"/>
      <c r="AE40" s="40"/>
      <c r="AF40" s="37"/>
      <c r="AG40" s="37"/>
      <c r="AH40" s="23"/>
      <c r="AI40" s="23"/>
      <c r="AJ40" s="23"/>
      <c r="AK40" s="23"/>
      <c r="AL40" s="23"/>
      <c r="AM40" s="23"/>
      <c r="AN40" s="26"/>
      <c r="AS40">
        <v>11</v>
      </c>
      <c r="AT40">
        <v>11</v>
      </c>
      <c r="AU40">
        <f t="shared" si="20"/>
        <v>0</v>
      </c>
      <c r="AV40">
        <v>27</v>
      </c>
      <c r="AW40" s="119">
        <v>27.35708</v>
      </c>
      <c r="AX40">
        <f t="shared" si="9"/>
        <v>-16</v>
      </c>
      <c r="AY40" s="119">
        <f t="shared" si="9"/>
        <v>-16.35708</v>
      </c>
      <c r="AZ40" s="23">
        <v>-0.215</v>
      </c>
      <c r="BA40" s="23">
        <f t="shared" si="21"/>
        <v>-0.21034837143500315</v>
      </c>
      <c r="BB40" s="119">
        <v>0</v>
      </c>
      <c r="BC40" s="119">
        <v>4</v>
      </c>
      <c r="BD40" s="119">
        <f t="shared" si="12"/>
        <v>-4</v>
      </c>
      <c r="BE40" s="23">
        <v>-0.32200000000000001</v>
      </c>
      <c r="BF40" s="23">
        <v>-0.24099999999999999</v>
      </c>
      <c r="BG40" s="23">
        <f t="shared" si="22"/>
        <v>-0.23826127857625234</v>
      </c>
      <c r="BH40" s="34">
        <v>0</v>
      </c>
      <c r="BI40" s="77">
        <v>0</v>
      </c>
      <c r="BJ40" s="34">
        <v>29556</v>
      </c>
      <c r="BK40" s="34">
        <v>26399.65</v>
      </c>
      <c r="BL40">
        <f t="shared" si="14"/>
        <v>-29556</v>
      </c>
      <c r="BM40" s="34">
        <f t="shared" si="14"/>
        <v>-26399.65</v>
      </c>
      <c r="BN40" s="23">
        <v>-0.14799999999999999</v>
      </c>
      <c r="BO40" s="23">
        <f t="shared" si="23"/>
        <v>-0.14569484839598373</v>
      </c>
    </row>
    <row r="41" spans="1:67" x14ac:dyDescent="0.25">
      <c r="A41" s="7" t="s">
        <v>106</v>
      </c>
      <c r="B41" s="7" t="s">
        <v>100</v>
      </c>
      <c r="C41" s="10">
        <f t="shared" si="25"/>
        <v>24</v>
      </c>
      <c r="D41" s="8">
        <v>0</v>
      </c>
      <c r="E41" s="8">
        <v>24</v>
      </c>
      <c r="F41" s="8">
        <v>0</v>
      </c>
      <c r="G41">
        <v>0</v>
      </c>
      <c r="H41">
        <v>0</v>
      </c>
      <c r="I41">
        <v>0</v>
      </c>
      <c r="J41">
        <v>0</v>
      </c>
      <c r="L41" s="33">
        <v>12</v>
      </c>
      <c r="M41" s="23">
        <f t="shared" si="26"/>
        <v>0.5</v>
      </c>
      <c r="N41" s="23">
        <f>M41/M77</f>
        <v>7.7504681415467664E-3</v>
      </c>
      <c r="O41" s="33">
        <v>7.5</v>
      </c>
      <c r="P41" s="23">
        <f t="shared" si="27"/>
        <v>0.3125</v>
      </c>
      <c r="Q41" s="40">
        <f>P41/P77</f>
        <v>2.0912897392061956E-2</v>
      </c>
      <c r="R41" s="23">
        <f t="shared" si="28"/>
        <v>0.453125</v>
      </c>
      <c r="S41" s="40">
        <f>R41/R77</f>
        <v>8.6938950105423553E-3</v>
      </c>
      <c r="T41" s="40">
        <f t="shared" si="29"/>
        <v>1.1041075454175563E-2</v>
      </c>
      <c r="U41" s="34">
        <v>87047</v>
      </c>
      <c r="V41" s="72">
        <f>U41/C41</f>
        <v>3626.9583333333335</v>
      </c>
      <c r="W41" s="72"/>
      <c r="X41" s="40">
        <f>V41/V77</f>
        <v>4.6575237586334639E-2</v>
      </c>
      <c r="Y41" s="47">
        <f t="shared" si="30"/>
        <v>2.5254740307039194E-2</v>
      </c>
      <c r="Z41" s="48">
        <v>8.7999999999999995E-2</v>
      </c>
      <c r="AA41" s="137">
        <v>-0.26500000000000001</v>
      </c>
      <c r="AB41" s="137">
        <f t="shared" si="19"/>
        <v>-0.26174090237128544</v>
      </c>
      <c r="AC41" s="70"/>
      <c r="AD41" s="40">
        <f>C41*AK41</f>
        <v>0</v>
      </c>
      <c r="AE41" s="40"/>
      <c r="AF41" s="37"/>
      <c r="AG41" s="37"/>
      <c r="AH41" s="23"/>
      <c r="AI41" s="23"/>
      <c r="AJ41" s="23"/>
      <c r="AK41" s="23"/>
      <c r="AL41" s="23"/>
      <c r="AM41" s="23"/>
      <c r="AN41" s="26"/>
      <c r="AS41">
        <v>26</v>
      </c>
      <c r="AT41">
        <v>26</v>
      </c>
      <c r="AU41">
        <f t="shared" si="20"/>
        <v>0</v>
      </c>
      <c r="AV41">
        <v>54</v>
      </c>
      <c r="AW41" s="119">
        <v>54.714170000000003</v>
      </c>
      <c r="AX41">
        <f t="shared" si="9"/>
        <v>-28</v>
      </c>
      <c r="AY41" s="119">
        <f t="shared" si="9"/>
        <v>-28.714170000000003</v>
      </c>
      <c r="AZ41" s="23">
        <v>-0.32200000000000001</v>
      </c>
      <c r="BA41" s="23">
        <f t="shared" si="21"/>
        <v>-0.32052776979198067</v>
      </c>
      <c r="BB41" s="119">
        <v>7</v>
      </c>
      <c r="BC41" s="119">
        <v>8</v>
      </c>
      <c r="BD41" s="119">
        <f t="shared" si="12"/>
        <v>-1</v>
      </c>
      <c r="BE41" s="23">
        <v>-0.20200000000000001</v>
      </c>
      <c r="BF41" s="23">
        <v>-0.29199999999999998</v>
      </c>
      <c r="BG41" s="23">
        <f t="shared" si="22"/>
        <v>-0.2908958273439855</v>
      </c>
      <c r="BH41" s="34">
        <v>11606</v>
      </c>
      <c r="BI41" s="77">
        <v>11606.25</v>
      </c>
      <c r="BJ41" s="34">
        <v>55101</v>
      </c>
      <c r="BK41" s="34">
        <v>50098.49</v>
      </c>
      <c r="BL41">
        <f t="shared" si="14"/>
        <v>-43495</v>
      </c>
      <c r="BM41" s="34">
        <f t="shared" si="14"/>
        <v>-38492.239999999998</v>
      </c>
      <c r="BN41" s="23">
        <v>-0.224</v>
      </c>
      <c r="BO41" s="23">
        <f t="shared" si="23"/>
        <v>-0.21800851491223538</v>
      </c>
    </row>
    <row r="42" spans="1:67" x14ac:dyDescent="0.25">
      <c r="A42" s="9" t="s">
        <v>106</v>
      </c>
      <c r="B42" s="9" t="s">
        <v>101</v>
      </c>
      <c r="C42" s="10">
        <f t="shared" si="25"/>
        <v>44</v>
      </c>
      <c r="D42" s="8">
        <v>0</v>
      </c>
      <c r="E42" s="8">
        <v>0</v>
      </c>
      <c r="F42" s="8">
        <v>44</v>
      </c>
      <c r="G42">
        <v>0</v>
      </c>
      <c r="H42">
        <v>0</v>
      </c>
      <c r="I42">
        <v>0</v>
      </c>
      <c r="J42">
        <v>0</v>
      </c>
      <c r="L42" s="33">
        <v>4.5</v>
      </c>
      <c r="M42" s="23">
        <f t="shared" si="26"/>
        <v>0.10227272727272728</v>
      </c>
      <c r="N42" s="23">
        <f>M42/M77</f>
        <v>1.5853230289527478E-3</v>
      </c>
      <c r="O42" s="33">
        <v>39.5</v>
      </c>
      <c r="P42" s="23">
        <f t="shared" si="27"/>
        <v>0.89772727272727271</v>
      </c>
      <c r="Q42" s="40">
        <f>P42/P77</f>
        <v>6.0077050689923438E-2</v>
      </c>
      <c r="R42" s="23">
        <f t="shared" si="28"/>
        <v>0.30113636363636365</v>
      </c>
      <c r="S42" s="40">
        <f>R42/R77</f>
        <v>5.7777609474450771E-3</v>
      </c>
      <c r="T42" s="40">
        <f t="shared" si="29"/>
        <v>1.6208254944195422E-2</v>
      </c>
      <c r="U42" s="34"/>
      <c r="V42" s="34">
        <f t="shared" si="24"/>
        <v>0</v>
      </c>
      <c r="W42" s="34"/>
      <c r="X42" s="40">
        <f>V42/V77</f>
        <v>0</v>
      </c>
      <c r="Y42" s="48">
        <f t="shared" si="30"/>
        <v>9.7249529665172519E-3</v>
      </c>
      <c r="Z42" s="48">
        <v>-0.38</v>
      </c>
      <c r="AA42" s="137">
        <v>-0.154</v>
      </c>
      <c r="AB42" s="137">
        <f t="shared" si="19"/>
        <v>-0.15478344564116484</v>
      </c>
      <c r="AC42" s="61"/>
      <c r="AD42" s="40"/>
      <c r="AE42" s="40"/>
      <c r="AF42" s="37"/>
      <c r="AG42" s="37"/>
      <c r="AH42" s="23"/>
      <c r="AI42" s="23"/>
      <c r="AJ42" s="23"/>
      <c r="AK42" s="23"/>
      <c r="AL42" s="23"/>
      <c r="AM42" s="23"/>
      <c r="AN42" s="26"/>
      <c r="AS42">
        <v>7</v>
      </c>
      <c r="AT42">
        <v>7</v>
      </c>
      <c r="AU42">
        <f t="shared" si="20"/>
        <v>0</v>
      </c>
      <c r="AV42">
        <v>100</v>
      </c>
      <c r="AW42" s="119">
        <v>100.30931</v>
      </c>
      <c r="AX42">
        <f t="shared" si="9"/>
        <v>-93</v>
      </c>
      <c r="AY42" s="119">
        <f t="shared" si="9"/>
        <v>-93.309309999999996</v>
      </c>
      <c r="AZ42" s="23">
        <v>-0.90300000000000002</v>
      </c>
      <c r="BA42" s="23">
        <f t="shared" si="21"/>
        <v>-0.89647677250902269</v>
      </c>
      <c r="BB42" s="119">
        <v>94</v>
      </c>
      <c r="BC42" s="119">
        <v>14</v>
      </c>
      <c r="BD42" s="119">
        <f t="shared" si="12"/>
        <v>80</v>
      </c>
      <c r="BE42" s="23">
        <v>3.024</v>
      </c>
      <c r="BF42" s="23">
        <v>7.9000000000000001E-2</v>
      </c>
      <c r="BG42" s="23">
        <f t="shared" si="22"/>
        <v>8.3642420618233015E-2</v>
      </c>
      <c r="BH42" s="34">
        <v>0</v>
      </c>
      <c r="BI42" s="77">
        <v>0</v>
      </c>
      <c r="BJ42" s="34">
        <v>94999</v>
      </c>
      <c r="BK42" s="34">
        <v>87725.32</v>
      </c>
      <c r="BL42">
        <f t="shared" si="14"/>
        <v>-94999</v>
      </c>
      <c r="BM42" s="34">
        <f t="shared" si="14"/>
        <v>-87725.32</v>
      </c>
      <c r="BN42" s="23">
        <v>-0.503</v>
      </c>
      <c r="BO42" s="23">
        <f t="shared" si="23"/>
        <v>-0.51242224503026157</v>
      </c>
    </row>
    <row r="43" spans="1:67" x14ac:dyDescent="0.25">
      <c r="A43" s="7" t="s">
        <v>106</v>
      </c>
      <c r="B43" s="7" t="s">
        <v>107</v>
      </c>
      <c r="C43" s="10">
        <f t="shared" si="25"/>
        <v>82</v>
      </c>
      <c r="D43" s="8">
        <v>82</v>
      </c>
      <c r="E43" s="8">
        <v>0</v>
      </c>
      <c r="F43" s="8">
        <v>0</v>
      </c>
      <c r="G43">
        <v>0</v>
      </c>
      <c r="H43">
        <v>0</v>
      </c>
      <c r="I43">
        <v>0</v>
      </c>
      <c r="J43">
        <v>0</v>
      </c>
      <c r="L43" s="33">
        <v>103</v>
      </c>
      <c r="M43" s="26">
        <f t="shared" si="26"/>
        <v>1.2560975609756098</v>
      </c>
      <c r="N43" s="23">
        <f>M43/M77</f>
        <v>1.947068825803212E-2</v>
      </c>
      <c r="O43" s="33">
        <v>11</v>
      </c>
      <c r="P43" s="23">
        <f t="shared" si="27"/>
        <v>0.13414634146341464</v>
      </c>
      <c r="Q43" s="40">
        <f>P43/P77</f>
        <v>8.9772437585436699E-3</v>
      </c>
      <c r="R43" s="23">
        <f t="shared" si="28"/>
        <v>0.97560975609756106</v>
      </c>
      <c r="S43" s="40">
        <f>R43/R77</f>
        <v>1.871856284860255E-2</v>
      </c>
      <c r="T43" s="40">
        <f t="shared" si="29"/>
        <v>1.6847327133160006E-2</v>
      </c>
      <c r="U43" s="34">
        <v>134599</v>
      </c>
      <c r="V43" s="72">
        <f>U43/C43</f>
        <v>1641.4512195121952</v>
      </c>
      <c r="W43" s="72"/>
      <c r="X43" s="40">
        <f>V43/V77</f>
        <v>2.1078538408489909E-2</v>
      </c>
      <c r="Y43" s="47">
        <f t="shared" si="30"/>
        <v>1.8539811643291965E-2</v>
      </c>
      <c r="Z43" s="47">
        <v>1.1000000000000001</v>
      </c>
      <c r="AA43" s="139">
        <v>0.23</v>
      </c>
      <c r="AB43" s="139">
        <f t="shared" si="19"/>
        <v>0.48543350720651285</v>
      </c>
      <c r="AC43" s="67">
        <f>AH43*AM$3</f>
        <v>79399.379436089032</v>
      </c>
      <c r="AD43" s="40">
        <f>C43*AK43</f>
        <v>0</v>
      </c>
      <c r="AE43" s="40" t="e">
        <f>C43*AL43</f>
        <v>#REF!</v>
      </c>
      <c r="AF43" s="37">
        <f>AI43*AN$3</f>
        <v>166417.95739297272</v>
      </c>
      <c r="AG43" s="37">
        <f>AF43-AC43</f>
        <v>87018.577956883688</v>
      </c>
      <c r="AH43" s="23">
        <f>C43*AM43</f>
        <v>1.3430178736737166</v>
      </c>
      <c r="AI43" s="23">
        <f>C43*AN43</f>
        <v>2.7695725665545172</v>
      </c>
      <c r="AJ43" s="23"/>
      <c r="AK43" s="23"/>
      <c r="AL43" s="23" t="e">
        <f>Z43/#REF!</f>
        <v>#REF!</v>
      </c>
      <c r="AM43" s="23">
        <f>AA43/AO$2</f>
        <v>1.6378266752118495E-2</v>
      </c>
      <c r="AN43" s="26">
        <f>AB43/AR$2</f>
        <v>3.3775275201884357E-2</v>
      </c>
      <c r="AS43">
        <v>203</v>
      </c>
      <c r="AT43">
        <v>196</v>
      </c>
      <c r="AU43">
        <f t="shared" si="20"/>
        <v>7</v>
      </c>
      <c r="AV43">
        <v>186</v>
      </c>
      <c r="AW43" s="119">
        <v>186.94006999999999</v>
      </c>
      <c r="AX43">
        <f t="shared" si="9"/>
        <v>17</v>
      </c>
      <c r="AY43" s="119">
        <f t="shared" si="9"/>
        <v>9.0599300000000085</v>
      </c>
      <c r="AZ43" s="23">
        <v>0.08</v>
      </c>
      <c r="BA43" s="23">
        <f t="shared" si="21"/>
        <v>1.6277061400177498E-2</v>
      </c>
      <c r="BB43" s="119">
        <v>37</v>
      </c>
      <c r="BC43" s="119">
        <v>26</v>
      </c>
      <c r="BD43" s="119">
        <f t="shared" si="12"/>
        <v>11</v>
      </c>
      <c r="BE43" s="23">
        <v>0.27600000000000002</v>
      </c>
      <c r="BF43" s="23">
        <v>0.129</v>
      </c>
      <c r="BG43" s="23">
        <f t="shared" si="22"/>
        <v>8.1207796050133133E-2</v>
      </c>
      <c r="BH43" s="34">
        <v>234031</v>
      </c>
      <c r="BI43" s="77">
        <v>336492</v>
      </c>
      <c r="BJ43" s="34">
        <v>166217</v>
      </c>
      <c r="BK43" s="34">
        <v>155957.32</v>
      </c>
      <c r="BL43">
        <f t="shared" si="14"/>
        <v>67814</v>
      </c>
      <c r="BM43" s="34">
        <f t="shared" si="14"/>
        <v>180534.68</v>
      </c>
      <c r="BN43" s="23">
        <v>0.38100000000000001</v>
      </c>
      <c r="BO43" s="23">
        <f t="shared" si="23"/>
        <v>1.0917720739410823</v>
      </c>
    </row>
    <row r="44" spans="1:67" x14ac:dyDescent="0.25">
      <c r="A44" s="9" t="s">
        <v>106</v>
      </c>
      <c r="B44" s="9" t="s">
        <v>109</v>
      </c>
      <c r="C44" s="10">
        <f t="shared" si="25"/>
        <v>13</v>
      </c>
      <c r="D44" s="8">
        <v>0</v>
      </c>
      <c r="E44" s="8">
        <v>13</v>
      </c>
      <c r="F44" s="8">
        <v>0</v>
      </c>
      <c r="G44">
        <v>0</v>
      </c>
      <c r="H44">
        <v>0</v>
      </c>
      <c r="I44">
        <v>0</v>
      </c>
      <c r="J44">
        <v>0</v>
      </c>
      <c r="L44" s="33">
        <v>2.5</v>
      </c>
      <c r="M44" s="23">
        <f t="shared" si="26"/>
        <v>0.19230769230769232</v>
      </c>
      <c r="N44" s="23">
        <f>M44/M77</f>
        <v>2.9809492852102952E-3</v>
      </c>
      <c r="O44" s="33">
        <v>1.5</v>
      </c>
      <c r="P44" s="23">
        <f t="shared" si="27"/>
        <v>0.11538461538461539</v>
      </c>
      <c r="Q44" s="40">
        <f>P44/P77</f>
        <v>7.7216851909151845E-3</v>
      </c>
      <c r="R44" s="23">
        <f t="shared" si="28"/>
        <v>0.1730769230769231</v>
      </c>
      <c r="S44" s="40">
        <f>R44/R77</f>
        <v>3.3207450438145873E-3</v>
      </c>
      <c r="T44" s="40">
        <f t="shared" si="29"/>
        <v>4.1661332616365178E-3</v>
      </c>
      <c r="U44" s="34"/>
      <c r="V44" s="34">
        <f t="shared" si="24"/>
        <v>0</v>
      </c>
      <c r="W44" s="34"/>
      <c r="X44" s="40">
        <f>V44/V77</f>
        <v>0</v>
      </c>
      <c r="Y44" s="48">
        <f t="shared" si="30"/>
        <v>2.4996799569819107E-3</v>
      </c>
      <c r="Z44" s="48">
        <v>-0.52700000000000002</v>
      </c>
      <c r="AA44" s="137">
        <v>-0.21299999999999999</v>
      </c>
      <c r="AB44" s="137">
        <f t="shared" si="19"/>
        <v>-0.21125531596712357</v>
      </c>
      <c r="AC44" s="61"/>
      <c r="AD44" s="40"/>
      <c r="AE44" s="40"/>
      <c r="AF44" s="37"/>
      <c r="AG44" s="37"/>
      <c r="AH44" s="23"/>
      <c r="AI44" s="23"/>
      <c r="AJ44" s="23"/>
      <c r="AK44" s="23"/>
      <c r="AL44" s="23"/>
      <c r="AM44" s="23"/>
      <c r="AN44" s="26"/>
      <c r="AS44">
        <v>9</v>
      </c>
      <c r="AT44">
        <v>9</v>
      </c>
      <c r="AU44">
        <f t="shared" si="20"/>
        <v>0</v>
      </c>
      <c r="AV44">
        <v>29</v>
      </c>
      <c r="AW44" s="119">
        <v>29.636839999999999</v>
      </c>
      <c r="AX44">
        <f t="shared" si="9"/>
        <v>-20</v>
      </c>
      <c r="AY44" s="119">
        <f t="shared" si="9"/>
        <v>-20.636839999999999</v>
      </c>
      <c r="AZ44" s="23">
        <v>-0.25</v>
      </c>
      <c r="BA44" s="23">
        <f t="shared" si="21"/>
        <v>-0.24850795285038962</v>
      </c>
      <c r="BB44" s="119">
        <v>2</v>
      </c>
      <c r="BC44" s="119">
        <v>4</v>
      </c>
      <c r="BD44" s="119">
        <f t="shared" si="12"/>
        <v>-2</v>
      </c>
      <c r="BE44" s="23">
        <v>-0.24199999999999999</v>
      </c>
      <c r="BF44" s="23">
        <v>-0.248</v>
      </c>
      <c r="BG44" s="23">
        <f t="shared" si="22"/>
        <v>-0.24688096463779222</v>
      </c>
      <c r="BH44" s="34">
        <v>0</v>
      </c>
      <c r="BI44" s="77">
        <v>0</v>
      </c>
      <c r="BJ44" s="34">
        <v>31760</v>
      </c>
      <c r="BK44" s="34">
        <v>28426.74</v>
      </c>
      <c r="BL44">
        <f t="shared" si="14"/>
        <v>-31760</v>
      </c>
      <c r="BM44" s="34">
        <f t="shared" si="14"/>
        <v>-28426.74</v>
      </c>
      <c r="BN44" s="23">
        <v>-0.16</v>
      </c>
      <c r="BO44" s="23">
        <f t="shared" si="23"/>
        <v>-0.15781684296112061</v>
      </c>
    </row>
    <row r="45" spans="1:67" x14ac:dyDescent="0.25">
      <c r="A45" s="7" t="s">
        <v>111</v>
      </c>
      <c r="B45" s="7" t="s">
        <v>100</v>
      </c>
      <c r="C45" s="10">
        <f t="shared" si="25"/>
        <v>29</v>
      </c>
      <c r="D45" s="8">
        <v>0</v>
      </c>
      <c r="E45" s="8">
        <v>0</v>
      </c>
      <c r="F45" s="8">
        <v>0</v>
      </c>
      <c r="G45" s="8">
        <v>0</v>
      </c>
      <c r="H45" s="8">
        <v>29</v>
      </c>
      <c r="I45">
        <v>0</v>
      </c>
      <c r="J45">
        <v>0</v>
      </c>
      <c r="L45" s="33">
        <v>24.5</v>
      </c>
      <c r="M45" s="23">
        <f t="shared" si="26"/>
        <v>0.84482758620689657</v>
      </c>
      <c r="N45" s="23">
        <f>M45/M77</f>
        <v>1.3095618583992812E-2</v>
      </c>
      <c r="O45" s="33">
        <v>25</v>
      </c>
      <c r="P45" s="23">
        <f t="shared" si="27"/>
        <v>0.86206896551724133</v>
      </c>
      <c r="Q45" s="40">
        <f>P45/P77</f>
        <v>5.7690751426377807E-2</v>
      </c>
      <c r="R45" s="23">
        <f t="shared" si="28"/>
        <v>0.84913793103448265</v>
      </c>
      <c r="S45" s="40">
        <f>R45/R77</f>
        <v>1.6292007772431335E-2</v>
      </c>
      <c r="T45" s="40">
        <f t="shared" si="29"/>
        <v>2.424440179458906E-2</v>
      </c>
      <c r="U45" s="34"/>
      <c r="V45" s="34">
        <f t="shared" si="24"/>
        <v>0</v>
      </c>
      <c r="W45" s="34"/>
      <c r="X45" s="40">
        <f>V45/V77</f>
        <v>0</v>
      </c>
      <c r="Y45" s="48">
        <f t="shared" si="30"/>
        <v>1.4546641076753436E-2</v>
      </c>
      <c r="Z45" s="48">
        <v>-3.2000000000000001E-2</v>
      </c>
      <c r="AA45" s="137">
        <v>-4.5999999999999999E-2</v>
      </c>
      <c r="AB45" s="137">
        <f t="shared" si="19"/>
        <v>-4.4237922386244452E-2</v>
      </c>
      <c r="AC45" s="61"/>
      <c r="AD45" s="40"/>
      <c r="AE45" s="40"/>
      <c r="AF45" s="37"/>
      <c r="AG45" s="37"/>
      <c r="AH45" s="23"/>
      <c r="AI45" s="23"/>
      <c r="AJ45" s="23"/>
      <c r="AK45" s="23"/>
      <c r="AL45" s="23"/>
      <c r="AM45" s="23"/>
      <c r="AN45" s="26"/>
      <c r="AS45">
        <v>67</v>
      </c>
      <c r="AT45">
        <v>67</v>
      </c>
      <c r="AU45">
        <f t="shared" si="20"/>
        <v>0</v>
      </c>
      <c r="AV45">
        <v>66</v>
      </c>
      <c r="AW45" s="119">
        <v>66.112949999999998</v>
      </c>
      <c r="AX45">
        <f t="shared" si="9"/>
        <v>1</v>
      </c>
      <c r="AY45" s="119">
        <f t="shared" si="9"/>
        <v>0.88705000000000211</v>
      </c>
      <c r="AZ45" s="23">
        <v>-6.3E-2</v>
      </c>
      <c r="BA45" s="23">
        <f t="shared" si="21"/>
        <v>-5.6594707053704056E-2</v>
      </c>
      <c r="BB45" s="119">
        <v>33</v>
      </c>
      <c r="BC45" s="119">
        <v>9</v>
      </c>
      <c r="BD45" s="119">
        <f t="shared" si="12"/>
        <v>24</v>
      </c>
      <c r="BE45" s="23">
        <v>0.79400000000000004</v>
      </c>
      <c r="BF45" s="23">
        <v>0.151</v>
      </c>
      <c r="BG45" s="23">
        <f t="shared" si="22"/>
        <v>0.15605396970972196</v>
      </c>
      <c r="BH45" s="34">
        <v>0</v>
      </c>
      <c r="BI45" s="77">
        <v>0</v>
      </c>
      <c r="BJ45" s="34">
        <v>65316</v>
      </c>
      <c r="BK45" s="34">
        <v>59674.06</v>
      </c>
      <c r="BL45">
        <f t="shared" si="14"/>
        <v>-65316</v>
      </c>
      <c r="BM45" s="34">
        <f t="shared" si="14"/>
        <v>-59674.06</v>
      </c>
      <c r="BN45" s="23">
        <v>-0.34200000000000003</v>
      </c>
      <c r="BO45" s="23">
        <f t="shared" si="23"/>
        <v>-0.34467576053019405</v>
      </c>
    </row>
    <row r="46" spans="1:67" x14ac:dyDescent="0.25">
      <c r="A46" s="7" t="s">
        <v>111</v>
      </c>
      <c r="B46" s="7" t="s">
        <v>101</v>
      </c>
      <c r="C46" s="10">
        <f t="shared" si="25"/>
        <v>45</v>
      </c>
      <c r="D46" s="8">
        <v>0</v>
      </c>
      <c r="E46" s="8">
        <v>0</v>
      </c>
      <c r="F46" s="8">
        <v>45</v>
      </c>
      <c r="G46" s="8">
        <v>0</v>
      </c>
      <c r="H46" s="8">
        <v>0</v>
      </c>
      <c r="I46">
        <v>0</v>
      </c>
      <c r="J46">
        <v>0</v>
      </c>
      <c r="L46" s="33">
        <v>2</v>
      </c>
      <c r="M46" s="23">
        <f t="shared" si="26"/>
        <v>4.4444444444444446E-2</v>
      </c>
      <c r="N46" s="23">
        <f>M46/M77</f>
        <v>6.8893050147082367E-4</v>
      </c>
      <c r="O46" s="33">
        <v>29</v>
      </c>
      <c r="P46" s="23">
        <f t="shared" si="27"/>
        <v>0.64444444444444449</v>
      </c>
      <c r="Q46" s="40">
        <f>P46/P77</f>
        <v>4.3127041732963327E-2</v>
      </c>
      <c r="R46" s="23">
        <f t="shared" si="28"/>
        <v>0.19444444444444445</v>
      </c>
      <c r="S46" s="40">
        <f>R46/R77</f>
        <v>3.7307135677423138E-3</v>
      </c>
      <c r="T46" s="40">
        <f t="shared" si="29"/>
        <v>1.1298458309343949E-2</v>
      </c>
      <c r="U46" s="34">
        <v>22648</v>
      </c>
      <c r="V46" s="34">
        <f>U46/C46</f>
        <v>503.28888888888889</v>
      </c>
      <c r="W46" s="34"/>
      <c r="X46" s="40">
        <f>V46/V77</f>
        <v>6.4629359976736359E-3</v>
      </c>
      <c r="Y46" s="48">
        <f t="shared" si="30"/>
        <v>9.364249384675824E-3</v>
      </c>
      <c r="Z46" s="48">
        <v>-0.38100000000000001</v>
      </c>
      <c r="AA46" s="137">
        <v>-0.32</v>
      </c>
      <c r="AB46" s="137">
        <f t="shared" si="19"/>
        <v>-0.3169996351540828</v>
      </c>
      <c r="AC46" s="61"/>
      <c r="AD46" s="40"/>
      <c r="AE46" s="40"/>
      <c r="AF46" s="37"/>
      <c r="AG46" s="37"/>
      <c r="AH46" s="23"/>
      <c r="AI46" s="23"/>
      <c r="AJ46" s="23"/>
      <c r="AK46" s="23"/>
      <c r="AL46" s="23"/>
      <c r="AM46" s="23"/>
      <c r="AN46" s="26"/>
      <c r="AS46">
        <v>16</v>
      </c>
      <c r="AT46">
        <v>16</v>
      </c>
      <c r="AU46">
        <f t="shared" si="20"/>
        <v>0</v>
      </c>
      <c r="AV46">
        <v>102</v>
      </c>
      <c r="AW46" s="119">
        <v>102.58906</v>
      </c>
      <c r="AX46">
        <f t="shared" si="9"/>
        <v>-86</v>
      </c>
      <c r="AY46" s="119">
        <f t="shared" si="9"/>
        <v>-86.589060000000003</v>
      </c>
      <c r="AZ46" s="23">
        <v>-0.84</v>
      </c>
      <c r="BA46" s="23">
        <f t="shared" si="21"/>
        <v>-0.83655707444026406</v>
      </c>
      <c r="BB46" s="119">
        <v>54</v>
      </c>
      <c r="BC46" s="119">
        <v>14</v>
      </c>
      <c r="BD46" s="119">
        <f t="shared" si="12"/>
        <v>40</v>
      </c>
      <c r="BE46" s="23">
        <v>1.431</v>
      </c>
      <c r="BF46" s="23">
        <v>-0.27200000000000002</v>
      </c>
      <c r="BG46" s="23">
        <f t="shared" si="22"/>
        <v>-0.269667805830198</v>
      </c>
      <c r="BH46" s="34">
        <v>22648</v>
      </c>
      <c r="BI46" s="77">
        <v>22648</v>
      </c>
      <c r="BJ46" s="34">
        <v>96937</v>
      </c>
      <c r="BK46" s="34">
        <v>89566.48</v>
      </c>
      <c r="BL46">
        <f t="shared" si="14"/>
        <v>-74289</v>
      </c>
      <c r="BM46" s="34">
        <f t="shared" si="14"/>
        <v>-66918.48</v>
      </c>
      <c r="BN46" s="23">
        <v>-0.39100000000000001</v>
      </c>
      <c r="BO46" s="23">
        <f t="shared" si="23"/>
        <v>-0.38799737913990989</v>
      </c>
    </row>
    <row r="47" spans="1:67" x14ac:dyDescent="0.25">
      <c r="A47" s="9" t="s">
        <v>111</v>
      </c>
      <c r="B47" s="9" t="s">
        <v>107</v>
      </c>
      <c r="C47" s="10">
        <f t="shared" si="25"/>
        <v>66</v>
      </c>
      <c r="D47" s="8">
        <v>44</v>
      </c>
      <c r="E47" s="8">
        <v>22</v>
      </c>
      <c r="F47" s="8">
        <v>0</v>
      </c>
      <c r="G47" s="8">
        <v>0</v>
      </c>
      <c r="H47" s="8">
        <v>0</v>
      </c>
      <c r="I47">
        <v>0</v>
      </c>
      <c r="J47">
        <v>0</v>
      </c>
      <c r="L47" s="33">
        <v>21.5</v>
      </c>
      <c r="M47" s="23">
        <f t="shared" si="26"/>
        <v>0.32575757575757575</v>
      </c>
      <c r="N47" s="23">
        <f>M47/M77</f>
        <v>5.0495474255531966E-3</v>
      </c>
      <c r="O47" s="33">
        <v>15</v>
      </c>
      <c r="P47" s="23">
        <f t="shared" si="27"/>
        <v>0.22727272727272727</v>
      </c>
      <c r="Q47" s="40">
        <f>P47/P77</f>
        <v>1.5209379921499604E-2</v>
      </c>
      <c r="R47" s="23">
        <f t="shared" si="28"/>
        <v>0.30113636363636365</v>
      </c>
      <c r="S47" s="40">
        <f>R47/R77</f>
        <v>5.7777609474450771E-3</v>
      </c>
      <c r="T47" s="40">
        <f t="shared" si="29"/>
        <v>7.5895055495397989E-3</v>
      </c>
      <c r="U47" s="34">
        <v>2778</v>
      </c>
      <c r="V47" s="34">
        <f>U47/C47</f>
        <v>42.090909090909093</v>
      </c>
      <c r="W47" s="34"/>
      <c r="X47" s="40">
        <f>V47/V77</f>
        <v>5.4050637227260777E-4</v>
      </c>
      <c r="Y47" s="48">
        <f t="shared" si="30"/>
        <v>4.7699058786329221E-3</v>
      </c>
      <c r="Z47" s="48">
        <v>-0.30199999999999999</v>
      </c>
      <c r="AA47" s="137">
        <v>-0.78500000000000003</v>
      </c>
      <c r="AB47" s="137">
        <f t="shared" si="19"/>
        <v>-0.79492459790562275</v>
      </c>
      <c r="AC47" s="61"/>
      <c r="AD47" s="40"/>
      <c r="AE47" s="40"/>
      <c r="AF47" s="37"/>
      <c r="AG47" s="37"/>
      <c r="AH47" s="23"/>
      <c r="AI47" s="23"/>
      <c r="AJ47" s="23"/>
      <c r="AK47" s="23"/>
      <c r="AL47" s="23"/>
      <c r="AM47" s="23"/>
      <c r="AN47" s="26"/>
      <c r="AS47">
        <v>39</v>
      </c>
      <c r="AT47">
        <v>39</v>
      </c>
      <c r="AU47">
        <f t="shared" si="20"/>
        <v>0</v>
      </c>
      <c r="AV47">
        <v>149</v>
      </c>
      <c r="AW47" s="119">
        <v>150.46395999999999</v>
      </c>
      <c r="AX47">
        <f t="shared" si="9"/>
        <v>-110</v>
      </c>
      <c r="AY47" s="119">
        <f t="shared" si="9"/>
        <v>-111.46395999999999</v>
      </c>
      <c r="AZ47" s="23">
        <v>-1.054</v>
      </c>
      <c r="BA47" s="23">
        <f t="shared" si="21"/>
        <v>-1.0583488972877126</v>
      </c>
      <c r="BB47" s="119">
        <v>22</v>
      </c>
      <c r="BC47" s="119">
        <v>21</v>
      </c>
      <c r="BD47" s="119">
        <f t="shared" si="12"/>
        <v>1</v>
      </c>
      <c r="BE47" s="23">
        <v>-0.122</v>
      </c>
      <c r="BF47" s="23">
        <v>-0.82099999999999995</v>
      </c>
      <c r="BG47" s="23">
        <f t="shared" si="22"/>
        <v>-0.82426167296578445</v>
      </c>
      <c r="BH47" s="34">
        <v>0</v>
      </c>
      <c r="BI47" s="77">
        <v>0</v>
      </c>
      <c r="BJ47" s="34">
        <v>136760</v>
      </c>
      <c r="BK47" s="34">
        <v>127607.73</v>
      </c>
      <c r="BL47">
        <f t="shared" si="14"/>
        <v>-136760</v>
      </c>
      <c r="BM47" s="34">
        <f t="shared" si="14"/>
        <v>-127607.73</v>
      </c>
      <c r="BN47" s="23">
        <v>-0.73</v>
      </c>
      <c r="BO47" s="23">
        <f t="shared" si="23"/>
        <v>-0.75091898531538015</v>
      </c>
    </row>
    <row r="48" spans="1:67" x14ac:dyDescent="0.25">
      <c r="A48" s="7" t="s">
        <v>111</v>
      </c>
      <c r="B48" s="7" t="s">
        <v>112</v>
      </c>
      <c r="C48" s="10">
        <f t="shared" si="25"/>
        <v>38</v>
      </c>
      <c r="D48" s="8">
        <v>0</v>
      </c>
      <c r="E48" s="8">
        <v>11</v>
      </c>
      <c r="F48" s="8">
        <v>27</v>
      </c>
      <c r="G48" s="8">
        <v>0</v>
      </c>
      <c r="H48" s="8">
        <v>0</v>
      </c>
      <c r="I48">
        <v>0</v>
      </c>
      <c r="J48">
        <v>0</v>
      </c>
      <c r="L48" s="33">
        <v>15.5</v>
      </c>
      <c r="M48" s="23">
        <f t="shared" si="26"/>
        <v>0.40789473684210525</v>
      </c>
      <c r="N48" s="23">
        <f>M48/M77</f>
        <v>6.322750325998678E-3</v>
      </c>
      <c r="O48" s="33">
        <v>3.5</v>
      </c>
      <c r="P48" s="23">
        <f t="shared" si="27"/>
        <v>9.2105263157894732E-2</v>
      </c>
      <c r="Q48" s="40">
        <f>P48/P77</f>
        <v>6.1638013366077347E-3</v>
      </c>
      <c r="R48" s="23">
        <f t="shared" si="28"/>
        <v>0.3289473684210526</v>
      </c>
      <c r="S48" s="40">
        <f>R48/R77</f>
        <v>6.3113575394136883E-3</v>
      </c>
      <c r="T48" s="40">
        <f t="shared" si="29"/>
        <v>6.2830130786509421E-3</v>
      </c>
      <c r="U48" s="34"/>
      <c r="V48" s="34">
        <f t="shared" si="24"/>
        <v>0</v>
      </c>
      <c r="W48" s="34"/>
      <c r="X48" s="40">
        <f>V48/V77</f>
        <v>0</v>
      </c>
      <c r="Y48" s="48">
        <f t="shared" si="30"/>
        <v>3.7698078471905651E-3</v>
      </c>
      <c r="Z48" s="48">
        <v>-0.33600000000000002</v>
      </c>
      <c r="AA48" s="137">
        <v>-0.49399999999999999</v>
      </c>
      <c r="AB48" s="137">
        <f t="shared" si="19"/>
        <v>-0.49496338357116187</v>
      </c>
      <c r="AC48" s="61"/>
      <c r="AD48" s="40"/>
      <c r="AE48" s="40"/>
      <c r="AF48" s="37"/>
      <c r="AG48" s="37"/>
      <c r="AH48" s="23"/>
      <c r="AI48" s="23"/>
      <c r="AJ48" s="23"/>
      <c r="AK48" s="23"/>
      <c r="AL48" s="23"/>
      <c r="AM48" s="23"/>
      <c r="AN48" s="26"/>
      <c r="AS48">
        <v>27</v>
      </c>
      <c r="AT48">
        <v>27</v>
      </c>
      <c r="AU48">
        <f t="shared" si="20"/>
        <v>0</v>
      </c>
      <c r="AV48">
        <v>86</v>
      </c>
      <c r="AW48" s="119">
        <v>86.630759999999995</v>
      </c>
      <c r="AX48">
        <f t="shared" si="9"/>
        <v>-59</v>
      </c>
      <c r="AY48" s="119">
        <f t="shared" si="9"/>
        <v>-59.630759999999995</v>
      </c>
      <c r="AZ48" s="23">
        <v>-0.59899999999999998</v>
      </c>
      <c r="BA48" s="23">
        <f t="shared" si="21"/>
        <v>-0.59618905294597146</v>
      </c>
      <c r="BB48" s="119">
        <v>8</v>
      </c>
      <c r="BC48" s="119">
        <v>12</v>
      </c>
      <c r="BD48" s="119">
        <f t="shared" si="12"/>
        <v>-4</v>
      </c>
      <c r="BE48" s="23">
        <v>-0.32200000000000001</v>
      </c>
      <c r="BF48" s="23">
        <v>-0.53</v>
      </c>
      <c r="BG48" s="23">
        <f t="shared" si="22"/>
        <v>-0.52764178970947861</v>
      </c>
      <c r="BH48" s="34">
        <v>0</v>
      </c>
      <c r="BI48" s="77">
        <v>0</v>
      </c>
      <c r="BJ48" s="34">
        <v>83273</v>
      </c>
      <c r="BK48" s="34">
        <v>76608.850000000006</v>
      </c>
      <c r="BL48">
        <f t="shared" si="14"/>
        <v>-83273</v>
      </c>
      <c r="BM48" s="34">
        <f t="shared" si="14"/>
        <v>-76608.850000000006</v>
      </c>
      <c r="BN48" s="23">
        <v>-0.44</v>
      </c>
      <c r="BO48" s="23">
        <f t="shared" si="23"/>
        <v>-0.44594577436368671</v>
      </c>
    </row>
    <row r="49" spans="1:67" x14ac:dyDescent="0.25">
      <c r="A49" s="9" t="s">
        <v>111</v>
      </c>
      <c r="B49" s="9" t="s">
        <v>113</v>
      </c>
      <c r="C49" s="10">
        <f t="shared" si="25"/>
        <v>20</v>
      </c>
      <c r="D49" s="11">
        <v>20</v>
      </c>
      <c r="E49" s="11">
        <v>0</v>
      </c>
      <c r="F49" s="11">
        <v>0</v>
      </c>
      <c r="G49" s="11">
        <v>0</v>
      </c>
      <c r="H49" s="11">
        <v>0</v>
      </c>
      <c r="I49">
        <v>0</v>
      </c>
      <c r="J49">
        <v>0</v>
      </c>
      <c r="L49" s="33">
        <v>8</v>
      </c>
      <c r="M49" s="23">
        <f t="shared" si="26"/>
        <v>0.4</v>
      </c>
      <c r="N49" s="23">
        <f>M49/M77</f>
        <v>6.2003745132374133E-3</v>
      </c>
      <c r="O49" s="33">
        <v>3.5</v>
      </c>
      <c r="P49" s="23">
        <f t="shared" si="27"/>
        <v>0.17499999999999999</v>
      </c>
      <c r="Q49" s="40">
        <f>P49/P77</f>
        <v>1.1711222539554695E-2</v>
      </c>
      <c r="R49" s="23">
        <f t="shared" si="28"/>
        <v>0.34375000000000006</v>
      </c>
      <c r="S49" s="40">
        <f>R49/R77</f>
        <v>6.5953686286873052E-3</v>
      </c>
      <c r="T49" s="40">
        <f t="shared" si="29"/>
        <v>7.5780865198167343E-3</v>
      </c>
      <c r="U49" s="34"/>
      <c r="V49" s="34">
        <f t="shared" si="24"/>
        <v>0</v>
      </c>
      <c r="W49" s="34"/>
      <c r="X49" s="40">
        <f>V49/V77</f>
        <v>0</v>
      </c>
      <c r="Y49" s="48">
        <f t="shared" si="30"/>
        <v>4.5468519118900402E-3</v>
      </c>
      <c r="Z49" s="48">
        <v>-0.29199999999999998</v>
      </c>
      <c r="AA49" s="137">
        <v>-0.23799999999999999</v>
      </c>
      <c r="AB49" s="137">
        <f t="shared" si="19"/>
        <v>-0.23635534152612508</v>
      </c>
      <c r="AC49" s="61"/>
      <c r="AD49" s="40"/>
      <c r="AE49" s="40"/>
      <c r="AF49" s="37"/>
      <c r="AG49" s="37"/>
      <c r="AH49" s="23"/>
      <c r="AI49" s="23"/>
      <c r="AJ49" s="23"/>
      <c r="AK49" s="23"/>
      <c r="AL49" s="23"/>
      <c r="AM49" s="162"/>
      <c r="AN49" s="137"/>
      <c r="AS49">
        <v>24</v>
      </c>
      <c r="AT49">
        <v>24</v>
      </c>
      <c r="AU49">
        <f t="shared" si="20"/>
        <v>0</v>
      </c>
      <c r="AV49">
        <v>45</v>
      </c>
      <c r="AW49" s="119">
        <v>45.595140000000001</v>
      </c>
      <c r="AX49">
        <f t="shared" si="9"/>
        <v>-21</v>
      </c>
      <c r="AY49" s="119">
        <f t="shared" si="9"/>
        <v>-21.595140000000001</v>
      </c>
      <c r="AZ49" s="23">
        <v>-0.25900000000000001</v>
      </c>
      <c r="BA49" s="23">
        <f t="shared" si="21"/>
        <v>-0.25705243358537594</v>
      </c>
      <c r="BB49" s="119">
        <v>6</v>
      </c>
      <c r="BC49" s="119">
        <v>6</v>
      </c>
      <c r="BD49" s="119">
        <f t="shared" si="12"/>
        <v>0</v>
      </c>
      <c r="BE49" s="23">
        <v>-0.16200000000000001</v>
      </c>
      <c r="BF49" s="23">
        <v>-0.23499999999999999</v>
      </c>
      <c r="BG49" s="23">
        <f t="shared" si="22"/>
        <v>-0.23328932518903198</v>
      </c>
      <c r="BH49" s="34">
        <v>0</v>
      </c>
      <c r="BI49" s="77">
        <v>0</v>
      </c>
      <c r="BJ49" s="34">
        <v>46774</v>
      </c>
      <c r="BK49" s="34">
        <v>42329.34</v>
      </c>
      <c r="BL49">
        <f t="shared" si="14"/>
        <v>-46774</v>
      </c>
      <c r="BM49" s="34">
        <f t="shared" si="14"/>
        <v>-42329.34</v>
      </c>
      <c r="BN49" s="23">
        <v>-0.24099999999999999</v>
      </c>
      <c r="BO49" s="23">
        <f t="shared" si="23"/>
        <v>-0.24095436603176473</v>
      </c>
    </row>
    <row r="50" spans="1:67" x14ac:dyDescent="0.25">
      <c r="A50" s="9" t="s">
        <v>111</v>
      </c>
      <c r="B50" s="9" t="s">
        <v>89</v>
      </c>
      <c r="C50" s="10">
        <f t="shared" si="25"/>
        <v>110</v>
      </c>
      <c r="D50" s="8">
        <v>0</v>
      </c>
      <c r="E50" s="8">
        <v>0</v>
      </c>
      <c r="F50" s="8">
        <v>0</v>
      </c>
      <c r="G50" s="8">
        <v>110</v>
      </c>
      <c r="H50" s="8">
        <v>0</v>
      </c>
      <c r="I50">
        <v>0</v>
      </c>
      <c r="J50">
        <v>0</v>
      </c>
      <c r="L50" s="33">
        <v>170.5</v>
      </c>
      <c r="M50" s="25">
        <f t="shared" si="26"/>
        <v>1.55</v>
      </c>
      <c r="N50" s="23">
        <f>M50/M77</f>
        <v>2.4026451238794978E-2</v>
      </c>
      <c r="O50" s="33">
        <v>10</v>
      </c>
      <c r="P50" s="23">
        <f t="shared" si="27"/>
        <v>9.0909090909090912E-2</v>
      </c>
      <c r="Q50" s="40">
        <f>P50/P77</f>
        <v>6.0837519685998419E-3</v>
      </c>
      <c r="R50" s="23">
        <f t="shared" si="28"/>
        <v>1.1852272727272728</v>
      </c>
      <c r="S50" s="42">
        <f>R50/R77</f>
        <v>2.2740394974283831E-2</v>
      </c>
      <c r="T50" s="42">
        <f t="shared" si="29"/>
        <v>1.9540776421246193E-2</v>
      </c>
      <c r="U50" s="34">
        <v>120</v>
      </c>
      <c r="V50" s="34">
        <f>U50/C50</f>
        <v>1.0909090909090908</v>
      </c>
      <c r="W50" s="34"/>
      <c r="X50" s="40">
        <f>V50/V77</f>
        <v>1.4008804464948793E-5</v>
      </c>
      <c r="Y50" s="48">
        <f t="shared" si="30"/>
        <v>1.1730069374533695E-2</v>
      </c>
      <c r="Z50" s="47">
        <v>1.59</v>
      </c>
      <c r="AA50" s="139">
        <v>0.25900000000000001</v>
      </c>
      <c r="AB50" s="139">
        <f t="shared" si="19"/>
        <v>0.2952716980931489</v>
      </c>
      <c r="AC50" s="67">
        <f>AH50*AM$3</f>
        <v>119941.05621071985</v>
      </c>
      <c r="AD50" s="40"/>
      <c r="AE50" s="40" t="e">
        <f>C50*AL50</f>
        <v>#REF!</v>
      </c>
      <c r="AF50" s="37">
        <f>AI50*AN$3</f>
        <v>135791.0327358208</v>
      </c>
      <c r="AG50" s="37">
        <f>AF50-AC50</f>
        <v>15849.976525100952</v>
      </c>
      <c r="AH50" s="23">
        <f>C50*AM50</f>
        <v>2.0287687815993736</v>
      </c>
      <c r="AI50" s="23">
        <f>C50*AN50</f>
        <v>2.2598710195749372</v>
      </c>
      <c r="AJ50" s="23"/>
      <c r="AK50" s="23"/>
      <c r="AL50" s="23" t="e">
        <f>Z50/#REF!</f>
        <v>#REF!</v>
      </c>
      <c r="AM50" s="23">
        <f>AA50/AO$2</f>
        <v>1.8443352559994304E-2</v>
      </c>
      <c r="AN50" s="26">
        <f>AB50/AR$2</f>
        <v>2.0544281996135793E-2</v>
      </c>
      <c r="AS50">
        <v>436</v>
      </c>
      <c r="AT50">
        <v>423</v>
      </c>
      <c r="AU50">
        <f t="shared" si="20"/>
        <v>13</v>
      </c>
      <c r="AV50">
        <v>249</v>
      </c>
      <c r="AW50" s="119">
        <v>250.77325999999999</v>
      </c>
      <c r="AX50">
        <f t="shared" si="9"/>
        <v>187</v>
      </c>
      <c r="AY50" s="119">
        <f t="shared" si="9"/>
        <v>172.22674000000001</v>
      </c>
      <c r="AZ50" s="23">
        <v>1.599</v>
      </c>
      <c r="BA50" s="23">
        <f t="shared" si="21"/>
        <v>1.4711196625002152</v>
      </c>
      <c r="BB50" s="119">
        <v>34</v>
      </c>
      <c r="BC50" s="119">
        <v>35</v>
      </c>
      <c r="BD50" s="119">
        <f t="shared" si="12"/>
        <v>-1</v>
      </c>
      <c r="BE50" s="23">
        <v>-0.20200000000000001</v>
      </c>
      <c r="BF50" s="23">
        <v>1.149</v>
      </c>
      <c r="BG50" s="23">
        <f t="shared" si="22"/>
        <v>1.0528397468751614</v>
      </c>
      <c r="BH50" s="34">
        <v>15713</v>
      </c>
      <c r="BI50" s="77">
        <v>61922</v>
      </c>
      <c r="BJ50" s="34">
        <v>216432</v>
      </c>
      <c r="BK50" s="34">
        <v>204606.89</v>
      </c>
      <c r="BL50">
        <f t="shared" si="14"/>
        <v>-200719</v>
      </c>
      <c r="BM50" s="34">
        <f t="shared" si="14"/>
        <v>-142684.89000000001</v>
      </c>
      <c r="BN50" s="23">
        <v>-1.077</v>
      </c>
      <c r="BO50" s="23">
        <f t="shared" si="23"/>
        <v>-0.84108037507986977</v>
      </c>
    </row>
    <row r="51" spans="1:67" x14ac:dyDescent="0.25">
      <c r="A51" s="7" t="s">
        <v>114</v>
      </c>
      <c r="B51" s="7" t="s">
        <v>115</v>
      </c>
      <c r="C51" s="10">
        <f t="shared" si="25"/>
        <v>28</v>
      </c>
      <c r="D51" s="15">
        <v>0</v>
      </c>
      <c r="E51" s="15">
        <v>28</v>
      </c>
      <c r="F51">
        <v>0</v>
      </c>
      <c r="G51">
        <v>0</v>
      </c>
      <c r="H51" s="12">
        <v>0</v>
      </c>
      <c r="I51">
        <v>0</v>
      </c>
      <c r="J51" s="12">
        <v>0</v>
      </c>
      <c r="K51" s="15"/>
      <c r="L51" s="33">
        <v>42</v>
      </c>
      <c r="M51" s="25">
        <f t="shared" si="26"/>
        <v>1.5</v>
      </c>
      <c r="N51" s="23">
        <f>M51/M77</f>
        <v>2.3251404424640298E-2</v>
      </c>
      <c r="O51" s="33">
        <v>6.5</v>
      </c>
      <c r="P51" s="23">
        <f t="shared" si="27"/>
        <v>0.23214285714285715</v>
      </c>
      <c r="Q51" s="40">
        <f>P51/P77</f>
        <v>1.553529520553174E-2</v>
      </c>
      <c r="R51" s="23">
        <f t="shared" si="28"/>
        <v>1.1830357142857142</v>
      </c>
      <c r="S51" s="42">
        <f>R51/R77</f>
        <v>2.2698346579248515E-2</v>
      </c>
      <c r="T51" s="42">
        <f t="shared" si="29"/>
        <v>2.1322377119863158E-2</v>
      </c>
      <c r="U51" s="34">
        <v>13056</v>
      </c>
      <c r="V51" s="34">
        <f>U51/C51</f>
        <v>466.28571428571428</v>
      </c>
      <c r="W51" s="34"/>
      <c r="X51" s="40">
        <f>V51/V77</f>
        <v>5.9877632798752568E-3</v>
      </c>
      <c r="Y51" s="48">
        <f t="shared" si="30"/>
        <v>1.5188531583867997E-2</v>
      </c>
      <c r="Z51" s="47">
        <v>0.23</v>
      </c>
      <c r="AA51" s="137">
        <v>0.217</v>
      </c>
      <c r="AB51" s="139">
        <f t="shared" si="19"/>
        <v>0.21844116025615112</v>
      </c>
      <c r="AC51" s="70"/>
      <c r="AD51" s="40"/>
      <c r="AE51" s="40" t="e">
        <f>C51*AL51</f>
        <v>#REF!</v>
      </c>
      <c r="AF51" s="37">
        <f>AI51*AN$3</f>
        <v>25571.081148559733</v>
      </c>
      <c r="AG51" s="37">
        <f>AF51-AC51</f>
        <v>25571.081148559733</v>
      </c>
      <c r="AH51" s="23">
        <f>C51*AM51</f>
        <v>0</v>
      </c>
      <c r="AI51" s="23">
        <f>C51*AN51</f>
        <v>0.42556083463370853</v>
      </c>
      <c r="AJ51" s="23"/>
      <c r="AK51" s="23"/>
      <c r="AL51" s="23" t="e">
        <f>Z51/#REF!</f>
        <v>#REF!</v>
      </c>
      <c r="AM51" s="23"/>
      <c r="AN51" s="26">
        <f>AB51/AR$2</f>
        <v>1.5198601236918161E-2</v>
      </c>
      <c r="AS51">
        <v>160</v>
      </c>
      <c r="AT51">
        <v>160</v>
      </c>
      <c r="AU51">
        <f t="shared" si="20"/>
        <v>0</v>
      </c>
      <c r="AV51">
        <v>63</v>
      </c>
      <c r="AW51" s="119">
        <v>63.833190000000002</v>
      </c>
      <c r="AX51">
        <f t="shared" si="9"/>
        <v>97</v>
      </c>
      <c r="AY51" s="119">
        <f t="shared" si="9"/>
        <v>96.166809999999998</v>
      </c>
      <c r="AZ51" s="23">
        <v>0.79500000000000004</v>
      </c>
      <c r="BA51" s="23">
        <f t="shared" si="21"/>
        <v>0.79294726701925422</v>
      </c>
      <c r="BB51" s="119">
        <v>7</v>
      </c>
      <c r="BC51" s="119">
        <v>9</v>
      </c>
      <c r="BD51" s="119">
        <f t="shared" si="12"/>
        <v>-2</v>
      </c>
      <c r="BE51" s="23">
        <v>-0.24199999999999999</v>
      </c>
      <c r="BF51" s="23">
        <v>0.53600000000000003</v>
      </c>
      <c r="BG51" s="23">
        <f t="shared" si="22"/>
        <v>0.53421045026444069</v>
      </c>
      <c r="BH51" s="34">
        <v>13056</v>
      </c>
      <c r="BI51" s="77">
        <v>13056</v>
      </c>
      <c r="BJ51" s="34">
        <v>63288</v>
      </c>
      <c r="BK51" s="34">
        <v>57769.69</v>
      </c>
      <c r="BL51">
        <f t="shared" si="14"/>
        <v>-50232</v>
      </c>
      <c r="BM51" s="34">
        <f t="shared" si="14"/>
        <v>-44713.69</v>
      </c>
      <c r="BN51" s="23">
        <v>-0.26</v>
      </c>
      <c r="BO51" s="23">
        <f t="shared" si="23"/>
        <v>-0.25521277475628323</v>
      </c>
    </row>
    <row r="52" spans="1:67" x14ac:dyDescent="0.25">
      <c r="A52" s="9" t="s">
        <v>114</v>
      </c>
      <c r="B52" s="9" t="s">
        <v>116</v>
      </c>
      <c r="C52" s="10">
        <f t="shared" si="25"/>
        <v>78</v>
      </c>
      <c r="D52" s="15">
        <v>59</v>
      </c>
      <c r="E52" s="15">
        <v>7</v>
      </c>
      <c r="F52">
        <v>0</v>
      </c>
      <c r="G52">
        <v>0</v>
      </c>
      <c r="H52" s="12">
        <v>11</v>
      </c>
      <c r="I52">
        <v>0</v>
      </c>
      <c r="J52" s="12">
        <v>1</v>
      </c>
      <c r="K52" s="15"/>
      <c r="L52" s="38">
        <v>51</v>
      </c>
      <c r="M52" s="23">
        <f t="shared" si="26"/>
        <v>0.65384615384615385</v>
      </c>
      <c r="N52" s="23">
        <f>M52/M77</f>
        <v>1.0135227569715003E-2</v>
      </c>
      <c r="O52" s="33">
        <v>11</v>
      </c>
      <c r="P52" s="23">
        <f t="shared" si="27"/>
        <v>0.14102564102564102</v>
      </c>
      <c r="Q52" s="40">
        <f>P52/P77</f>
        <v>9.4376152333407806E-3</v>
      </c>
      <c r="R52" s="23">
        <f t="shared" si="28"/>
        <v>0.52564102564102566</v>
      </c>
      <c r="S52" s="40">
        <f>R52/R77</f>
        <v>1.0085225688622079E-2</v>
      </c>
      <c r="T52" s="40">
        <f t="shared" si="29"/>
        <v>9.9608244856214476E-3</v>
      </c>
      <c r="U52" s="34">
        <v>14577</v>
      </c>
      <c r="V52" s="34">
        <f>U52/C52</f>
        <v>186.88461538461539</v>
      </c>
      <c r="W52" s="34"/>
      <c r="X52" s="40">
        <f>V52/V77</f>
        <v>2.399860864894385E-3</v>
      </c>
      <c r="Y52" s="48">
        <f t="shared" si="30"/>
        <v>6.9364390373306221E-3</v>
      </c>
      <c r="Z52" s="48">
        <v>0.123</v>
      </c>
      <c r="AA52" s="137">
        <v>-0.64800000000000002</v>
      </c>
      <c r="AB52" s="137">
        <f t="shared" si="19"/>
        <v>-0.64551068667913447</v>
      </c>
      <c r="AC52" s="61"/>
      <c r="AD52" s="40"/>
      <c r="AE52" s="40"/>
      <c r="AF52" s="37"/>
      <c r="AG52" s="37"/>
      <c r="AH52" s="23"/>
      <c r="AI52" s="23"/>
      <c r="AJ52" s="23"/>
      <c r="AK52" s="23"/>
      <c r="AL52" s="23"/>
      <c r="AM52" s="23"/>
      <c r="AN52" s="26"/>
      <c r="AS52">
        <v>107</v>
      </c>
      <c r="AT52">
        <v>107</v>
      </c>
      <c r="AU52">
        <f t="shared" si="20"/>
        <v>0</v>
      </c>
      <c r="AV52">
        <v>177</v>
      </c>
      <c r="AW52" s="119">
        <v>177.82104000000001</v>
      </c>
      <c r="AX52">
        <f t="shared" si="9"/>
        <v>-70</v>
      </c>
      <c r="AY52" s="119">
        <f t="shared" si="9"/>
        <v>-70.821040000000011</v>
      </c>
      <c r="AZ52" s="23">
        <v>-0.69699999999999995</v>
      </c>
      <c r="BA52" s="23">
        <f t="shared" si="21"/>
        <v>-0.69596483493397343</v>
      </c>
      <c r="BB52" s="119">
        <v>30</v>
      </c>
      <c r="BC52" s="119">
        <v>25</v>
      </c>
      <c r="BD52" s="119">
        <f t="shared" si="12"/>
        <v>5</v>
      </c>
      <c r="BE52" s="23">
        <v>3.6999999999999998E-2</v>
      </c>
      <c r="BF52" s="23">
        <v>-0.51400000000000001</v>
      </c>
      <c r="BG52" s="23">
        <f t="shared" si="22"/>
        <v>-0.51272362620048006</v>
      </c>
      <c r="BH52" s="34">
        <v>0</v>
      </c>
      <c r="BI52" s="77">
        <v>5624</v>
      </c>
      <c r="BJ52" s="34">
        <v>158912</v>
      </c>
      <c r="BK52" s="34">
        <v>148912.72</v>
      </c>
      <c r="BL52">
        <f t="shared" si="14"/>
        <v>-158912</v>
      </c>
      <c r="BM52" s="34">
        <f t="shared" si="14"/>
        <v>-143288.72</v>
      </c>
      <c r="BN52" s="23">
        <v>-0.85</v>
      </c>
      <c r="BO52" s="23">
        <f t="shared" si="23"/>
        <v>-0.84469127739711591</v>
      </c>
    </row>
    <row r="53" spans="1:67" x14ac:dyDescent="0.25">
      <c r="A53" s="7" t="s">
        <v>114</v>
      </c>
      <c r="B53" s="7" t="s">
        <v>100</v>
      </c>
      <c r="C53" s="10">
        <f t="shared" si="25"/>
        <v>14</v>
      </c>
      <c r="D53" s="20">
        <v>0</v>
      </c>
      <c r="E53" s="20">
        <v>14</v>
      </c>
      <c r="F53">
        <v>0</v>
      </c>
      <c r="G53">
        <v>0</v>
      </c>
      <c r="H53" s="13">
        <v>0</v>
      </c>
      <c r="I53">
        <v>0</v>
      </c>
      <c r="J53" s="13">
        <v>0</v>
      </c>
      <c r="K53" s="15"/>
      <c r="L53" s="38">
        <v>7.5</v>
      </c>
      <c r="M53" s="23">
        <f t="shared" si="26"/>
        <v>0.5357142857142857</v>
      </c>
      <c r="N53" s="23">
        <f>M53/M77</f>
        <v>8.3040730088001068E-3</v>
      </c>
      <c r="O53" s="33">
        <v>18</v>
      </c>
      <c r="P53" s="23">
        <f t="shared" si="27"/>
        <v>1.2857142857142858</v>
      </c>
      <c r="Q53" s="40">
        <f>P53/P77</f>
        <v>8.6041634984483487E-2</v>
      </c>
      <c r="R53" s="23">
        <f t="shared" si="28"/>
        <v>0.72321428571428581</v>
      </c>
      <c r="S53" s="40">
        <f>R53/R77</f>
        <v>1.3875970361653811E-2</v>
      </c>
      <c r="T53" s="40">
        <f t="shared" si="29"/>
        <v>2.7738463502720953E-2</v>
      </c>
      <c r="U53" s="34"/>
      <c r="V53" s="34">
        <f t="shared" si="24"/>
        <v>0</v>
      </c>
      <c r="W53" s="34"/>
      <c r="X53" s="40">
        <f>V53/V77</f>
        <v>0</v>
      </c>
      <c r="Y53" s="48">
        <f t="shared" si="30"/>
        <v>1.6643078101632573E-2</v>
      </c>
      <c r="Z53" s="48">
        <v>-0.52500000000000002</v>
      </c>
      <c r="AA53" s="137">
        <v>0.16200000000000001</v>
      </c>
      <c r="AB53" s="137">
        <f t="shared" si="19"/>
        <v>0.16612153760825665</v>
      </c>
      <c r="AC53" s="61"/>
      <c r="AD53" s="40"/>
      <c r="AE53" s="40"/>
      <c r="AF53" s="37"/>
      <c r="AG53" s="37"/>
      <c r="AH53" s="23"/>
      <c r="AI53" s="23"/>
      <c r="AJ53" s="23"/>
      <c r="AK53" s="23"/>
      <c r="AL53" s="23"/>
      <c r="AM53" s="23"/>
      <c r="AN53" s="26"/>
      <c r="AS53">
        <v>41</v>
      </c>
      <c r="AT53">
        <v>41</v>
      </c>
      <c r="AU53">
        <f t="shared" si="20"/>
        <v>0</v>
      </c>
      <c r="AV53">
        <v>32</v>
      </c>
      <c r="AW53" s="119">
        <v>31.916599999999999</v>
      </c>
      <c r="AX53">
        <f t="shared" si="9"/>
        <v>9</v>
      </c>
      <c r="AY53" s="119">
        <f t="shared" si="9"/>
        <v>9.083400000000001</v>
      </c>
      <c r="AZ53" s="23">
        <v>8.9999999999999993E-3</v>
      </c>
      <c r="BA53" s="23">
        <f t="shared" si="21"/>
        <v>1.6486326727162853E-2</v>
      </c>
      <c r="BB53" s="119">
        <v>46</v>
      </c>
      <c r="BC53" s="119">
        <v>4</v>
      </c>
      <c r="BD53" s="119">
        <f t="shared" si="12"/>
        <v>42</v>
      </c>
      <c r="BE53" s="23">
        <v>1.5109999999999999</v>
      </c>
      <c r="BF53" s="23">
        <v>0.38400000000000001</v>
      </c>
      <c r="BG53" s="23">
        <f t="shared" si="22"/>
        <v>0.39011474504537214</v>
      </c>
      <c r="BH53" s="34">
        <v>0</v>
      </c>
      <c r="BI53" s="77">
        <v>0</v>
      </c>
      <c r="BJ53" s="34">
        <v>33947</v>
      </c>
      <c r="BK53" s="34">
        <v>30442.03</v>
      </c>
      <c r="BL53">
        <f t="shared" si="14"/>
        <v>-33947</v>
      </c>
      <c r="BM53" s="34">
        <f t="shared" si="14"/>
        <v>-30442.03</v>
      </c>
      <c r="BN53" s="23">
        <v>-0.17199999999999999</v>
      </c>
      <c r="BO53" s="23">
        <f t="shared" si="23"/>
        <v>-0.16986827354741657</v>
      </c>
    </row>
    <row r="54" spans="1:67" x14ac:dyDescent="0.25">
      <c r="A54" s="9" t="s">
        <v>114</v>
      </c>
      <c r="B54" s="9" t="s">
        <v>113</v>
      </c>
      <c r="C54" s="10">
        <f t="shared" si="25"/>
        <v>15</v>
      </c>
      <c r="D54" s="15">
        <v>15</v>
      </c>
      <c r="E54" s="15">
        <v>0</v>
      </c>
      <c r="F54">
        <v>0</v>
      </c>
      <c r="G54">
        <v>0</v>
      </c>
      <c r="H54" s="12">
        <v>0</v>
      </c>
      <c r="I54">
        <v>0</v>
      </c>
      <c r="J54" s="12">
        <v>0</v>
      </c>
      <c r="K54" s="15"/>
      <c r="L54" s="38">
        <v>12.5</v>
      </c>
      <c r="M54" s="23">
        <f t="shared" si="26"/>
        <v>0.83333333333333337</v>
      </c>
      <c r="N54" s="23">
        <f>M54/M77</f>
        <v>1.2917446902577946E-2</v>
      </c>
      <c r="O54" s="33">
        <v>4.5</v>
      </c>
      <c r="P54" s="23">
        <f t="shared" si="27"/>
        <v>0.3</v>
      </c>
      <c r="Q54" s="40">
        <f>P54/P77</f>
        <v>2.0076381496379476E-2</v>
      </c>
      <c r="R54" s="23">
        <f t="shared" si="28"/>
        <v>0.7</v>
      </c>
      <c r="S54" s="40">
        <f>R54/R77</f>
        <v>1.3430568843872328E-2</v>
      </c>
      <c r="T54" s="40">
        <f t="shared" si="29"/>
        <v>1.4707180551028329E-2</v>
      </c>
      <c r="U54" s="34"/>
      <c r="V54" s="34">
        <f t="shared" si="24"/>
        <v>0</v>
      </c>
      <c r="W54" s="34"/>
      <c r="X54" s="40">
        <f>V54/V77</f>
        <v>0</v>
      </c>
      <c r="Y54" s="48">
        <f t="shared" si="30"/>
        <v>8.8243083306169968E-3</v>
      </c>
      <c r="Z54" s="48">
        <v>-0.30299999999999999</v>
      </c>
      <c r="AA54" s="137">
        <v>0.193</v>
      </c>
      <c r="AB54" s="137">
        <f t="shared" si="19"/>
        <v>0.20682139870367167</v>
      </c>
      <c r="AC54" s="61"/>
      <c r="AD54" s="40"/>
      <c r="AE54" s="40"/>
      <c r="AF54" s="37"/>
      <c r="AG54" s="37"/>
      <c r="AH54" s="23"/>
      <c r="AI54" s="23"/>
      <c r="AJ54" s="23"/>
      <c r="AK54" s="23"/>
      <c r="AL54" s="23"/>
      <c r="AM54" s="23"/>
      <c r="AN54" s="26"/>
      <c r="AS54">
        <v>90</v>
      </c>
      <c r="AT54">
        <v>90</v>
      </c>
      <c r="AU54">
        <f t="shared" si="20"/>
        <v>0</v>
      </c>
      <c r="AV54">
        <v>34</v>
      </c>
      <c r="AW54" s="119">
        <v>34.196350000000002</v>
      </c>
      <c r="AX54">
        <f t="shared" si="9"/>
        <v>56</v>
      </c>
      <c r="AY54" s="119">
        <f t="shared" si="9"/>
        <v>55.803649999999998</v>
      </c>
      <c r="AZ54" s="23">
        <v>0.42899999999999999</v>
      </c>
      <c r="BA54" s="23">
        <f t="shared" si="21"/>
        <v>0.43305762596408509</v>
      </c>
      <c r="BB54" s="119">
        <v>3</v>
      </c>
      <c r="BC54" s="119">
        <v>5</v>
      </c>
      <c r="BD54" s="119">
        <f t="shared" si="12"/>
        <v>-2</v>
      </c>
      <c r="BE54" s="23">
        <v>-0.24199999999999999</v>
      </c>
      <c r="BF54" s="23">
        <v>0.26100000000000001</v>
      </c>
      <c r="BG54" s="23">
        <f t="shared" si="22"/>
        <v>0.26429321947306383</v>
      </c>
      <c r="BH54" s="34">
        <v>50580</v>
      </c>
      <c r="BI54" s="77">
        <v>50580</v>
      </c>
      <c r="BJ54" s="34">
        <v>36119</v>
      </c>
      <c r="BK54" s="34">
        <v>32446.44</v>
      </c>
      <c r="BL54">
        <f t="shared" si="14"/>
        <v>14461</v>
      </c>
      <c r="BM54" s="34">
        <f t="shared" si="14"/>
        <v>18133.560000000001</v>
      </c>
      <c r="BN54" s="23">
        <v>9.0999999999999998E-2</v>
      </c>
      <c r="BO54" s="23">
        <f t="shared" si="23"/>
        <v>0.12061366754958343</v>
      </c>
    </row>
    <row r="55" spans="1:67" x14ac:dyDescent="0.25">
      <c r="A55" s="7" t="s">
        <v>114</v>
      </c>
      <c r="B55" s="7" t="s">
        <v>117</v>
      </c>
      <c r="C55" s="10">
        <f t="shared" si="25"/>
        <v>29</v>
      </c>
      <c r="D55" s="15">
        <v>18</v>
      </c>
      <c r="E55" s="15">
        <v>0</v>
      </c>
      <c r="F55">
        <v>0</v>
      </c>
      <c r="G55">
        <v>9</v>
      </c>
      <c r="H55" s="12">
        <v>2</v>
      </c>
      <c r="I55">
        <v>0</v>
      </c>
      <c r="J55" s="12">
        <v>0</v>
      </c>
      <c r="K55" s="15"/>
      <c r="L55" s="38">
        <v>23.5</v>
      </c>
      <c r="M55" s="23">
        <f t="shared" si="26"/>
        <v>0.81034482758620685</v>
      </c>
      <c r="N55" s="23">
        <f>M55/M77</f>
        <v>1.2561103539748207E-2</v>
      </c>
      <c r="O55" s="33">
        <v>2.5</v>
      </c>
      <c r="P55" s="23">
        <f t="shared" si="27"/>
        <v>8.6206896551724144E-2</v>
      </c>
      <c r="Q55" s="40">
        <f>P55/P77</f>
        <v>5.7690751426377812E-3</v>
      </c>
      <c r="R55" s="23">
        <f t="shared" si="28"/>
        <v>0.62931034482758619</v>
      </c>
      <c r="S55" s="40">
        <f>R55/R77</f>
        <v>1.2074279871954188E-2</v>
      </c>
      <c r="T55" s="40">
        <f t="shared" si="29"/>
        <v>1.08630964404706E-2</v>
      </c>
      <c r="U55" s="34"/>
      <c r="V55" s="34">
        <f t="shared" si="24"/>
        <v>0</v>
      </c>
      <c r="W55" s="34"/>
      <c r="X55" s="40">
        <f>V55/V77</f>
        <v>0</v>
      </c>
      <c r="Y55" s="48">
        <f t="shared" si="30"/>
        <v>6.5178578642823603E-3</v>
      </c>
      <c r="Z55" s="48">
        <v>-0.187</v>
      </c>
      <c r="AA55" s="137">
        <v>-0.20300000000000001</v>
      </c>
      <c r="AB55" s="137">
        <f t="shared" si="19"/>
        <v>-0.20088732989361663</v>
      </c>
      <c r="AC55" s="61"/>
      <c r="AD55" s="40"/>
      <c r="AE55" s="40"/>
      <c r="AF55" s="37"/>
      <c r="AG55" s="37"/>
      <c r="AH55" s="23"/>
      <c r="AI55" s="23"/>
      <c r="AJ55" s="23"/>
      <c r="AK55" s="23"/>
      <c r="AL55" s="23"/>
      <c r="AM55" s="23"/>
      <c r="AN55" s="26"/>
      <c r="AS55">
        <v>68</v>
      </c>
      <c r="AT55">
        <v>68</v>
      </c>
      <c r="AU55">
        <f t="shared" si="20"/>
        <v>0</v>
      </c>
      <c r="AV55">
        <v>66</v>
      </c>
      <c r="AW55" s="119">
        <v>66.112949999999998</v>
      </c>
      <c r="AX55">
        <f t="shared" si="9"/>
        <v>2</v>
      </c>
      <c r="AY55" s="119">
        <f t="shared" si="9"/>
        <v>1.8870500000000021</v>
      </c>
      <c r="AZ55" s="23">
        <v>-5.3999999999999999E-2</v>
      </c>
      <c r="BA55" s="23">
        <f t="shared" si="21"/>
        <v>-4.7678417024499965E-2</v>
      </c>
      <c r="BB55" s="119">
        <v>5</v>
      </c>
      <c r="BC55" s="119">
        <v>9</v>
      </c>
      <c r="BD55" s="119">
        <f t="shared" si="12"/>
        <v>-4</v>
      </c>
      <c r="BE55" s="23">
        <v>-0.32200000000000001</v>
      </c>
      <c r="BF55" s="23">
        <v>-0.121</v>
      </c>
      <c r="BG55" s="23">
        <f t="shared" si="22"/>
        <v>-0.11625881276837498</v>
      </c>
      <c r="BH55" s="34">
        <v>2817</v>
      </c>
      <c r="BI55" s="77">
        <v>2817</v>
      </c>
      <c r="BJ55" s="34">
        <v>65316</v>
      </c>
      <c r="BK55" s="34">
        <v>59674.06</v>
      </c>
      <c r="BL55">
        <f t="shared" si="14"/>
        <v>-62499</v>
      </c>
      <c r="BM55" s="34">
        <f t="shared" si="14"/>
        <v>-56857.06</v>
      </c>
      <c r="BN55" s="23">
        <v>-0.32700000000000001</v>
      </c>
      <c r="BO55" s="23">
        <f t="shared" si="23"/>
        <v>-0.32783010558147907</v>
      </c>
    </row>
    <row r="56" spans="1:67" x14ac:dyDescent="0.25">
      <c r="A56" s="9" t="s">
        <v>118</v>
      </c>
      <c r="B56" s="9" t="s">
        <v>119</v>
      </c>
      <c r="C56" s="10">
        <f t="shared" si="25"/>
        <v>32</v>
      </c>
      <c r="D56" s="8">
        <v>26</v>
      </c>
      <c r="E56" s="8">
        <v>6</v>
      </c>
      <c r="F56">
        <v>0</v>
      </c>
      <c r="G56">
        <v>0</v>
      </c>
      <c r="H56" s="8">
        <v>0</v>
      </c>
      <c r="I56">
        <v>0</v>
      </c>
      <c r="J56">
        <v>0</v>
      </c>
      <c r="L56" s="38">
        <v>10.5</v>
      </c>
      <c r="M56" s="23">
        <f t="shared" si="26"/>
        <v>0.328125</v>
      </c>
      <c r="N56" s="23">
        <f>M56/M77</f>
        <v>5.0862447178900653E-3</v>
      </c>
      <c r="O56" s="33">
        <v>5.5</v>
      </c>
      <c r="P56" s="23">
        <f t="shared" si="27"/>
        <v>0.171875</v>
      </c>
      <c r="Q56" s="40">
        <f>P56/P77</f>
        <v>1.1502093565634076E-2</v>
      </c>
      <c r="R56" s="23">
        <f t="shared" si="28"/>
        <v>0.2890625</v>
      </c>
      <c r="S56" s="40">
        <f>R56/R77</f>
        <v>5.5461054377597789E-3</v>
      </c>
      <c r="T56" s="40">
        <f t="shared" si="29"/>
        <v>6.6902069298260675E-3</v>
      </c>
      <c r="U56" s="34"/>
      <c r="V56" s="34">
        <f t="shared" si="24"/>
        <v>0</v>
      </c>
      <c r="W56" s="34"/>
      <c r="X56" s="40">
        <f>V56/V77</f>
        <v>0</v>
      </c>
      <c r="Y56" s="48">
        <f t="shared" si="30"/>
        <v>4.0141241578956401E-3</v>
      </c>
      <c r="Z56" s="48">
        <v>-0.32600000000000001</v>
      </c>
      <c r="AA56" s="137">
        <v>-0.42899999999999999</v>
      </c>
      <c r="AB56" s="137">
        <f t="shared" si="19"/>
        <v>-0.43124258986251518</v>
      </c>
      <c r="AC56" s="61"/>
      <c r="AD56" s="40"/>
      <c r="AE56" s="40"/>
      <c r="AF56" s="37"/>
      <c r="AG56" s="37"/>
      <c r="AH56" s="23"/>
      <c r="AI56" s="23"/>
      <c r="AJ56" s="23"/>
      <c r="AK56" s="23"/>
      <c r="AL56" s="23"/>
      <c r="AM56" s="23"/>
      <c r="AN56" s="26"/>
      <c r="AS56">
        <v>21</v>
      </c>
      <c r="AT56">
        <v>21</v>
      </c>
      <c r="AU56">
        <f t="shared" si="20"/>
        <v>0</v>
      </c>
      <c r="AV56">
        <v>72</v>
      </c>
      <c r="AW56" s="119">
        <v>72.952219999999997</v>
      </c>
      <c r="AX56">
        <f t="shared" si="9"/>
        <v>-51</v>
      </c>
      <c r="AY56" s="119">
        <f t="shared" si="9"/>
        <v>-51.952219999999997</v>
      </c>
      <c r="AZ56" s="23">
        <v>-0.52700000000000002</v>
      </c>
      <c r="BA56" s="23">
        <f t="shared" si="21"/>
        <v>-0.52772496330512664</v>
      </c>
      <c r="BB56" s="119">
        <v>7</v>
      </c>
      <c r="BC56" s="119">
        <v>10</v>
      </c>
      <c r="BD56" s="119">
        <f t="shared" si="12"/>
        <v>-3</v>
      </c>
      <c r="BE56" s="23">
        <v>-0.28199999999999997</v>
      </c>
      <c r="BF56" s="23">
        <v>-0.46600000000000003</v>
      </c>
      <c r="BG56" s="23">
        <f t="shared" si="22"/>
        <v>-0.46629372247884499</v>
      </c>
      <c r="BH56" s="34">
        <v>0</v>
      </c>
      <c r="BI56" s="77">
        <v>0</v>
      </c>
      <c r="BJ56" s="34">
        <v>71357</v>
      </c>
      <c r="BK56" s="34">
        <v>65358.03</v>
      </c>
      <c r="BL56">
        <f t="shared" si="14"/>
        <v>-71357</v>
      </c>
      <c r="BM56" s="34">
        <f t="shared" si="14"/>
        <v>-65358.03</v>
      </c>
      <c r="BN56" s="23">
        <v>-0.375</v>
      </c>
      <c r="BO56" s="23">
        <f t="shared" si="23"/>
        <v>-0.37866589093802061</v>
      </c>
    </row>
    <row r="57" spans="1:67" x14ac:dyDescent="0.25">
      <c r="A57" s="7" t="s">
        <v>118</v>
      </c>
      <c r="B57" s="7" t="s">
        <v>120</v>
      </c>
      <c r="C57" s="10">
        <f t="shared" si="25"/>
        <v>69</v>
      </c>
      <c r="D57" s="8">
        <v>0</v>
      </c>
      <c r="E57" s="8">
        <v>0</v>
      </c>
      <c r="F57">
        <v>0</v>
      </c>
      <c r="G57">
        <v>69</v>
      </c>
      <c r="H57" s="8">
        <v>0</v>
      </c>
      <c r="I57">
        <v>0</v>
      </c>
      <c r="J57">
        <v>0</v>
      </c>
      <c r="L57" s="38">
        <v>174</v>
      </c>
      <c r="M57" s="25">
        <f t="shared" si="26"/>
        <v>2.5217391304347827</v>
      </c>
      <c r="N57" s="23">
        <f>M57/M77</f>
        <v>3.9089317583453256E-2</v>
      </c>
      <c r="O57" s="33">
        <v>18.5</v>
      </c>
      <c r="P57" s="23">
        <f t="shared" si="27"/>
        <v>0.26811594202898553</v>
      </c>
      <c r="Q57" s="40">
        <f>P57/P77</f>
        <v>1.7942659791450259E-2</v>
      </c>
      <c r="R57" s="23">
        <f t="shared" si="28"/>
        <v>1.9583333333333333</v>
      </c>
      <c r="S57" s="42">
        <f>R57/R77</f>
        <v>3.7573615217976156E-2</v>
      </c>
      <c r="T57" s="42">
        <f t="shared" si="29"/>
        <v>3.3802653135452505E-2</v>
      </c>
      <c r="U57" s="34">
        <v>80256</v>
      </c>
      <c r="V57" s="72">
        <f>U57/C57</f>
        <v>1163.1304347826087</v>
      </c>
      <c r="W57" s="72"/>
      <c r="X57" s="40">
        <f>V57/V77</f>
        <v>1.4936227925758739E-2</v>
      </c>
      <c r="Y57" s="47">
        <f t="shared" si="30"/>
        <v>2.6256083051574997E-2</v>
      </c>
      <c r="Z57" s="47">
        <v>2.1720000000000002</v>
      </c>
      <c r="AA57" s="139">
        <v>1.3839999999999999</v>
      </c>
      <c r="AB57" s="139">
        <f t="shared" si="19"/>
        <v>1.3914933932299627</v>
      </c>
      <c r="AC57" s="67">
        <f>AH57*AM$3</f>
        <v>402031.97977883118</v>
      </c>
      <c r="AD57" s="40">
        <f>C57*AK57</f>
        <v>0</v>
      </c>
      <c r="AE57" s="40" t="e">
        <f>C57*AL57</f>
        <v>#REF!</v>
      </c>
      <c r="AF57" s="37">
        <f>AI57*AN$3</f>
        <v>401408.73960272537</v>
      </c>
      <c r="AG57" s="37">
        <f>AF57-AC57</f>
        <v>-623.24017610581359</v>
      </c>
      <c r="AH57" s="23">
        <f>C57*AM57</f>
        <v>6.8002563554795978</v>
      </c>
      <c r="AI57" s="23">
        <f>C57*AN57</f>
        <v>6.6803525929220351</v>
      </c>
      <c r="AJ57" s="23"/>
      <c r="AK57" s="23"/>
      <c r="AL57" s="23" t="e">
        <f>Z57/#REF!</f>
        <v>#REF!</v>
      </c>
      <c r="AM57" s="23">
        <f>AA57/AO$2</f>
        <v>9.8554439934486926E-2</v>
      </c>
      <c r="AN57" s="26">
        <f>AB57/AR$2</f>
        <v>9.6816704245246882E-2</v>
      </c>
      <c r="AS57">
        <v>528</v>
      </c>
      <c r="AT57">
        <v>528</v>
      </c>
      <c r="AU57">
        <f t="shared" si="20"/>
        <v>0</v>
      </c>
      <c r="AV57">
        <v>156</v>
      </c>
      <c r="AW57" s="119">
        <v>157.30323000000001</v>
      </c>
      <c r="AX57">
        <f t="shared" si="9"/>
        <v>372</v>
      </c>
      <c r="AY57" s="119">
        <f t="shared" si="9"/>
        <v>370.69677000000001</v>
      </c>
      <c r="AZ57" s="23">
        <v>3.2519999999999998</v>
      </c>
      <c r="BA57" s="23">
        <f t="shared" si="21"/>
        <v>3.2407360120850512</v>
      </c>
      <c r="BB57" s="119">
        <v>28</v>
      </c>
      <c r="BC57" s="119">
        <v>22</v>
      </c>
      <c r="BD57" s="119">
        <f t="shared" si="12"/>
        <v>6</v>
      </c>
      <c r="BE57" s="23">
        <v>7.6999999999999999E-2</v>
      </c>
      <c r="BF57" s="23">
        <v>2.4580000000000002</v>
      </c>
      <c r="BG57" s="23">
        <f t="shared" si="22"/>
        <v>2.4498020090637884</v>
      </c>
      <c r="BH57" s="34">
        <v>98152</v>
      </c>
      <c r="BI57" s="77">
        <v>98152.82</v>
      </c>
      <c r="BJ57" s="34">
        <v>142334</v>
      </c>
      <c r="BK57" s="34">
        <v>132959.60999999999</v>
      </c>
      <c r="BL57">
        <f t="shared" si="14"/>
        <v>-44182</v>
      </c>
      <c r="BM57" s="34">
        <f t="shared" si="14"/>
        <v>-34806.789999999979</v>
      </c>
      <c r="BN57" s="23">
        <v>-0.22700000000000001</v>
      </c>
      <c r="BO57" s="23">
        <f t="shared" si="23"/>
        <v>-0.19596953052077573</v>
      </c>
    </row>
    <row r="58" spans="1:67" x14ac:dyDescent="0.25">
      <c r="A58" s="9" t="s">
        <v>118</v>
      </c>
      <c r="B58" s="9" t="s">
        <v>121</v>
      </c>
      <c r="C58" s="10">
        <f t="shared" si="25"/>
        <v>24</v>
      </c>
      <c r="D58" s="8">
        <v>0</v>
      </c>
      <c r="E58" s="8">
        <v>0</v>
      </c>
      <c r="F58">
        <v>0</v>
      </c>
      <c r="G58">
        <v>0</v>
      </c>
      <c r="H58" s="8">
        <v>24</v>
      </c>
      <c r="I58">
        <v>0</v>
      </c>
      <c r="J58">
        <v>0</v>
      </c>
      <c r="L58" s="38">
        <v>11.5</v>
      </c>
      <c r="M58" s="23">
        <f t="shared" si="26"/>
        <v>0.47916666666666669</v>
      </c>
      <c r="N58" s="23">
        <f>M58/M77</f>
        <v>7.4275319689823182E-3</v>
      </c>
      <c r="O58" s="33">
        <v>5</v>
      </c>
      <c r="P58" s="23">
        <f t="shared" si="27"/>
        <v>0.20833333333333334</v>
      </c>
      <c r="Q58" s="40">
        <f>P58/P77</f>
        <v>1.3941931594707972E-2</v>
      </c>
      <c r="R58" s="23">
        <f t="shared" si="28"/>
        <v>0.41145833333333331</v>
      </c>
      <c r="S58" s="40">
        <f>R58/R77</f>
        <v>7.8944563888832878E-3</v>
      </c>
      <c r="T58" s="40">
        <f t="shared" si="29"/>
        <v>9.0561318754137313E-3</v>
      </c>
      <c r="U58" s="34"/>
      <c r="V58" s="34">
        <f t="shared" si="24"/>
        <v>0</v>
      </c>
      <c r="W58" s="34"/>
      <c r="X58" s="40">
        <f>V58/V77</f>
        <v>0</v>
      </c>
      <c r="Y58" s="48">
        <f t="shared" si="30"/>
        <v>5.4336791252482383E-3</v>
      </c>
      <c r="Z58" s="48">
        <v>-0.217</v>
      </c>
      <c r="AA58" s="139">
        <v>0.314</v>
      </c>
      <c r="AB58" s="139">
        <f t="shared" si="19"/>
        <v>0.37645405569133172</v>
      </c>
      <c r="AC58" s="67">
        <f>AH58*AM$3</f>
        <v>31726.072292172157</v>
      </c>
      <c r="AD58" s="40"/>
      <c r="AE58" s="40"/>
      <c r="AF58" s="37">
        <f>AI58*AN$3</f>
        <v>37772.854564454989</v>
      </c>
      <c r="AG58" s="37">
        <f>AF58-AC58</f>
        <v>6046.7822722828314</v>
      </c>
      <c r="AH58" s="23">
        <f>C58*AM58</f>
        <v>0.5366374706259347</v>
      </c>
      <c r="AI58" s="23">
        <f>C58*AN58</f>
        <v>0.62862604132999444</v>
      </c>
      <c r="AJ58" s="23"/>
      <c r="AK58" s="23"/>
      <c r="AL58" s="23"/>
      <c r="AM58" s="23">
        <f>AA58/AO$2</f>
        <v>2.2359894609413945E-2</v>
      </c>
      <c r="AN58" s="26">
        <f>AB58/AR$2</f>
        <v>2.6192751722083102E-2</v>
      </c>
      <c r="AS58">
        <v>31</v>
      </c>
      <c r="AT58">
        <v>31</v>
      </c>
      <c r="AU58">
        <f t="shared" si="20"/>
        <v>0</v>
      </c>
      <c r="AV58">
        <v>54</v>
      </c>
      <c r="AW58" s="119">
        <v>54.714170000000003</v>
      </c>
      <c r="AX58">
        <f t="shared" si="9"/>
        <v>-23</v>
      </c>
      <c r="AY58" s="119">
        <f t="shared" si="9"/>
        <v>-23.714170000000003</v>
      </c>
      <c r="AZ58" s="23">
        <v>-0.27700000000000002</v>
      </c>
      <c r="BA58" s="23">
        <f t="shared" si="21"/>
        <v>-0.27594631964596028</v>
      </c>
      <c r="BB58" s="119">
        <v>3</v>
      </c>
      <c r="BC58" s="119">
        <v>8</v>
      </c>
      <c r="BD58" s="119">
        <f t="shared" si="12"/>
        <v>-5</v>
      </c>
      <c r="BE58" s="23">
        <v>-0.36099999999999999</v>
      </c>
      <c r="BF58" s="23">
        <v>-0.29799999999999999</v>
      </c>
      <c r="BG58" s="23">
        <f t="shared" si="22"/>
        <v>-0.29720973973447018</v>
      </c>
      <c r="BH58" s="34">
        <v>279994</v>
      </c>
      <c r="BI58" s="77">
        <v>279994</v>
      </c>
      <c r="BJ58" s="34">
        <v>55101</v>
      </c>
      <c r="BK58" s="34">
        <v>50098.49</v>
      </c>
      <c r="BL58">
        <f t="shared" si="14"/>
        <v>224893</v>
      </c>
      <c r="BM58" s="34">
        <f t="shared" si="14"/>
        <v>229895.51</v>
      </c>
      <c r="BN58" s="23">
        <v>1.2330000000000001</v>
      </c>
      <c r="BO58" s="23">
        <f t="shared" si="23"/>
        <v>1.3869497488300344</v>
      </c>
    </row>
    <row r="59" spans="1:67" x14ac:dyDescent="0.25">
      <c r="A59" s="7" t="s">
        <v>118</v>
      </c>
      <c r="B59" s="7" t="s">
        <v>100</v>
      </c>
      <c r="C59" s="10">
        <f t="shared" si="25"/>
        <v>83</v>
      </c>
      <c r="D59" s="8">
        <v>43</v>
      </c>
      <c r="E59" s="8">
        <v>40</v>
      </c>
      <c r="F59">
        <v>0</v>
      </c>
      <c r="G59">
        <v>0</v>
      </c>
      <c r="H59" s="8">
        <v>0</v>
      </c>
      <c r="I59">
        <v>0</v>
      </c>
      <c r="J59">
        <v>0</v>
      </c>
      <c r="L59" s="38">
        <v>38</v>
      </c>
      <c r="M59" s="23">
        <f t="shared" si="26"/>
        <v>0.45783132530120479</v>
      </c>
      <c r="N59" s="23">
        <f>M59/M77</f>
        <v>7.0968142018982437E-3</v>
      </c>
      <c r="O59" s="33">
        <v>9.5</v>
      </c>
      <c r="P59" s="23">
        <f t="shared" si="27"/>
        <v>0.1144578313253012</v>
      </c>
      <c r="Q59" s="40">
        <f>P59/P77</f>
        <v>7.6596636231166682E-3</v>
      </c>
      <c r="R59" s="23">
        <f t="shared" si="28"/>
        <v>0.37198795180722893</v>
      </c>
      <c r="S59" s="40">
        <f>R59/R77</f>
        <v>7.1371568511972147E-3</v>
      </c>
      <c r="T59" s="40">
        <f t="shared" si="29"/>
        <v>7.2375265572028492E-3</v>
      </c>
      <c r="U59" s="34"/>
      <c r="V59" s="34">
        <f t="shared" si="24"/>
        <v>0</v>
      </c>
      <c r="W59" s="34"/>
      <c r="X59" s="40">
        <f>V59/V77</f>
        <v>0</v>
      </c>
      <c r="Y59" s="48">
        <f t="shared" si="30"/>
        <v>4.3425159343217093E-3</v>
      </c>
      <c r="Z59" s="48">
        <v>-0.13200000000000001</v>
      </c>
      <c r="AA59" s="137">
        <v>-0.89400000000000002</v>
      </c>
      <c r="AB59" s="137">
        <f t="shared" si="19"/>
        <v>-0.90777311348382161</v>
      </c>
      <c r="AC59" s="61"/>
      <c r="AD59" s="40"/>
      <c r="AE59" s="40"/>
      <c r="AF59" s="37"/>
      <c r="AG59" s="37"/>
      <c r="AH59" s="23"/>
      <c r="AI59" s="23"/>
      <c r="AJ59" s="23"/>
      <c r="AK59" s="23"/>
      <c r="AL59" s="23"/>
      <c r="AM59" s="23"/>
      <c r="AN59" s="26"/>
      <c r="AS59">
        <v>81</v>
      </c>
      <c r="AT59">
        <v>81</v>
      </c>
      <c r="AU59">
        <f t="shared" si="20"/>
        <v>0</v>
      </c>
      <c r="AV59">
        <v>188</v>
      </c>
      <c r="AW59" s="119">
        <v>189.21983</v>
      </c>
      <c r="AX59">
        <f t="shared" si="9"/>
        <v>-107</v>
      </c>
      <c r="AY59" s="119">
        <f t="shared" si="9"/>
        <v>-108.21983</v>
      </c>
      <c r="AZ59" s="23">
        <v>-1.028</v>
      </c>
      <c r="BA59" s="23">
        <f t="shared" si="21"/>
        <v>-1.0294232933152709</v>
      </c>
      <c r="BB59" s="119">
        <v>19</v>
      </c>
      <c r="BC59" s="119">
        <v>27</v>
      </c>
      <c r="BD59" s="119">
        <f t="shared" si="12"/>
        <v>-8</v>
      </c>
      <c r="BE59" s="23">
        <v>-0.48099999999999998</v>
      </c>
      <c r="BF59" s="23">
        <v>-0.89100000000000001</v>
      </c>
      <c r="BG59" s="23">
        <f t="shared" si="22"/>
        <v>-0.89231746998645312</v>
      </c>
      <c r="BH59" s="34">
        <v>0</v>
      </c>
      <c r="BI59" s="77">
        <v>0</v>
      </c>
      <c r="BJ59" s="34">
        <v>168037</v>
      </c>
      <c r="BK59" s="34">
        <v>157714.35999999999</v>
      </c>
      <c r="BL59">
        <f t="shared" si="14"/>
        <v>-168037</v>
      </c>
      <c r="BM59" s="34">
        <f t="shared" si="14"/>
        <v>-157714.35999999999</v>
      </c>
      <c r="BN59" s="23">
        <v>-0.9</v>
      </c>
      <c r="BO59" s="23">
        <f t="shared" si="23"/>
        <v>-0.93095657872987425</v>
      </c>
    </row>
    <row r="60" spans="1:67" x14ac:dyDescent="0.25">
      <c r="A60" s="7" t="s">
        <v>118</v>
      </c>
      <c r="B60" s="7" t="s">
        <v>107</v>
      </c>
      <c r="C60" s="10">
        <f t="shared" si="25"/>
        <v>57</v>
      </c>
      <c r="D60" s="8">
        <v>57</v>
      </c>
      <c r="E60" s="8">
        <v>0</v>
      </c>
      <c r="F60">
        <v>0</v>
      </c>
      <c r="G60">
        <v>0</v>
      </c>
      <c r="H60" s="8">
        <v>0</v>
      </c>
      <c r="I60">
        <v>0</v>
      </c>
      <c r="J60">
        <v>0</v>
      </c>
      <c r="L60" s="38">
        <v>12</v>
      </c>
      <c r="M60" s="23">
        <f t="shared" si="26"/>
        <v>0.21052631578947367</v>
      </c>
      <c r="N60" s="23">
        <f>M60/M77</f>
        <v>3.2633550069670592E-3</v>
      </c>
      <c r="O60" s="33">
        <v>8</v>
      </c>
      <c r="P60" s="23">
        <f t="shared" si="27"/>
        <v>0.14035087719298245</v>
      </c>
      <c r="Q60" s="40">
        <f>P60/P77</f>
        <v>9.3924591795927388E-3</v>
      </c>
      <c r="R60" s="23">
        <f t="shared" si="28"/>
        <v>0.19298245614035087</v>
      </c>
      <c r="S60" s="40">
        <f>R60/R77</f>
        <v>3.7026630897893636E-3</v>
      </c>
      <c r="T60" s="40">
        <f t="shared" si="29"/>
        <v>4.795631050123479E-3</v>
      </c>
      <c r="U60" s="34"/>
      <c r="V60" s="34">
        <f t="shared" si="24"/>
        <v>0</v>
      </c>
      <c r="W60" s="34"/>
      <c r="X60" s="40">
        <f>V60/V77</f>
        <v>0</v>
      </c>
      <c r="Y60" s="48">
        <f t="shared" si="30"/>
        <v>2.8773786300740874E-3</v>
      </c>
      <c r="Z60" s="48">
        <v>-0.435</v>
      </c>
      <c r="AA60" s="137">
        <v>-0.80400000000000005</v>
      </c>
      <c r="AB60" s="137">
        <f t="shared" si="19"/>
        <v>-0.81007920784661036</v>
      </c>
      <c r="AC60" s="61"/>
      <c r="AD60" s="40"/>
      <c r="AE60" s="40"/>
      <c r="AF60" s="37"/>
      <c r="AG60" s="37"/>
      <c r="AH60" s="23"/>
      <c r="AI60" s="23"/>
      <c r="AJ60" s="23"/>
      <c r="AK60" s="23"/>
      <c r="AL60" s="23"/>
      <c r="AM60" s="23"/>
      <c r="AN60" s="26"/>
      <c r="AS60">
        <v>14</v>
      </c>
      <c r="AT60">
        <v>14</v>
      </c>
      <c r="AU60">
        <f t="shared" si="20"/>
        <v>0</v>
      </c>
      <c r="AV60">
        <v>129</v>
      </c>
      <c r="AW60" s="119">
        <v>129.94614999999999</v>
      </c>
      <c r="AX60">
        <f t="shared" si="9"/>
        <v>-115</v>
      </c>
      <c r="AY60" s="119">
        <f t="shared" si="9"/>
        <v>-115.94614999999999</v>
      </c>
      <c r="AZ60" s="23">
        <v>-1.099</v>
      </c>
      <c r="BA60" s="23">
        <f t="shared" si="21"/>
        <v>-1.098313403293711</v>
      </c>
      <c r="BB60" s="119">
        <v>13</v>
      </c>
      <c r="BC60" s="119">
        <v>18</v>
      </c>
      <c r="BD60" s="119">
        <f t="shared" si="12"/>
        <v>-5</v>
      </c>
      <c r="BE60" s="23">
        <v>-0.36099999999999999</v>
      </c>
      <c r="BF60" s="23">
        <v>-0.91500000000000004</v>
      </c>
      <c r="BG60" s="23">
        <f t="shared" si="22"/>
        <v>-0.91398505247028328</v>
      </c>
      <c r="BH60" s="34">
        <v>0</v>
      </c>
      <c r="BI60" s="77">
        <v>0</v>
      </c>
      <c r="BJ60" s="34">
        <v>119880</v>
      </c>
      <c r="BK60" s="34">
        <v>111437.4</v>
      </c>
      <c r="BL60">
        <f t="shared" si="14"/>
        <v>-119880</v>
      </c>
      <c r="BM60" s="34">
        <f t="shared" si="14"/>
        <v>-111437.4</v>
      </c>
      <c r="BN60" s="23">
        <v>-0.63800000000000001</v>
      </c>
      <c r="BO60" s="23">
        <f t="shared" si="23"/>
        <v>-0.6542204409111011</v>
      </c>
    </row>
    <row r="61" spans="1:67" x14ac:dyDescent="0.25">
      <c r="A61" s="9" t="s">
        <v>118</v>
      </c>
      <c r="B61" s="9" t="s">
        <v>124</v>
      </c>
      <c r="C61" s="10">
        <f t="shared" si="25"/>
        <v>12</v>
      </c>
      <c r="D61" s="8">
        <v>0</v>
      </c>
      <c r="E61" s="8">
        <v>12</v>
      </c>
      <c r="F61">
        <v>0</v>
      </c>
      <c r="G61">
        <v>0</v>
      </c>
      <c r="H61" s="8">
        <v>0</v>
      </c>
      <c r="I61">
        <v>0</v>
      </c>
      <c r="J61">
        <v>0</v>
      </c>
      <c r="L61" s="38">
        <v>2.5</v>
      </c>
      <c r="M61" s="23">
        <f t="shared" si="26"/>
        <v>0.20833333333333334</v>
      </c>
      <c r="N61" s="23">
        <f>M61/M77</f>
        <v>3.2293617256444864E-3</v>
      </c>
      <c r="O61" s="33">
        <v>2.5</v>
      </c>
      <c r="P61" s="23">
        <f t="shared" si="27"/>
        <v>0.20833333333333334</v>
      </c>
      <c r="Q61" s="40">
        <f>P61/P77</f>
        <v>1.3941931594707972E-2</v>
      </c>
      <c r="R61" s="23">
        <f t="shared" si="28"/>
        <v>0.20833333333333334</v>
      </c>
      <c r="S61" s="40">
        <f>R61/R77</f>
        <v>3.9971931082953358E-3</v>
      </c>
      <c r="T61" s="40">
        <f t="shared" si="29"/>
        <v>5.9075041929103579E-3</v>
      </c>
      <c r="U61" s="34"/>
      <c r="V61" s="34">
        <f t="shared" si="24"/>
        <v>0</v>
      </c>
      <c r="W61" s="34"/>
      <c r="X61" s="40">
        <f>V61/V77</f>
        <v>0</v>
      </c>
      <c r="Y61" s="48">
        <f t="shared" si="30"/>
        <v>3.5445025157462146E-3</v>
      </c>
      <c r="Z61" s="48">
        <v>-0.313</v>
      </c>
      <c r="AA61" s="137">
        <v>-0.17</v>
      </c>
      <c r="AB61" s="137">
        <f t="shared" si="19"/>
        <v>-0.16744635906985408</v>
      </c>
      <c r="AC61" s="61"/>
      <c r="AD61" s="40"/>
      <c r="AE61" s="40"/>
      <c r="AF61" s="37"/>
      <c r="AG61" s="37"/>
      <c r="AH61" s="23"/>
      <c r="AI61" s="23"/>
      <c r="AJ61" s="23"/>
      <c r="AK61" s="23"/>
      <c r="AL61" s="23"/>
      <c r="AM61" s="23"/>
      <c r="AN61" s="26"/>
      <c r="AS61">
        <v>6</v>
      </c>
      <c r="AT61">
        <v>6</v>
      </c>
      <c r="AU61">
        <f t="shared" si="20"/>
        <v>0</v>
      </c>
      <c r="AV61">
        <v>27</v>
      </c>
      <c r="AW61" s="119">
        <v>27.35708</v>
      </c>
      <c r="AX61">
        <f t="shared" si="9"/>
        <v>-21</v>
      </c>
      <c r="AY61" s="119">
        <f t="shared" si="9"/>
        <v>-21.35708</v>
      </c>
      <c r="AZ61" s="23">
        <v>-0.25900000000000001</v>
      </c>
      <c r="BA61" s="23">
        <f t="shared" si="21"/>
        <v>-0.25492982158102356</v>
      </c>
      <c r="BB61" s="119">
        <v>9</v>
      </c>
      <c r="BC61" s="119">
        <v>4</v>
      </c>
      <c r="BD61" s="119">
        <f t="shared" si="12"/>
        <v>5</v>
      </c>
      <c r="BE61" s="23">
        <v>3.6999999999999998E-2</v>
      </c>
      <c r="BF61" s="23">
        <v>-0.185</v>
      </c>
      <c r="BG61" s="23">
        <f t="shared" si="22"/>
        <v>-0.18194736618576765</v>
      </c>
      <c r="BH61" s="34">
        <v>0</v>
      </c>
      <c r="BI61" s="77">
        <v>0</v>
      </c>
      <c r="BJ61" s="34">
        <v>29556</v>
      </c>
      <c r="BK61" s="34">
        <v>26399.65</v>
      </c>
      <c r="BL61">
        <f t="shared" si="14"/>
        <v>-29556</v>
      </c>
      <c r="BM61" s="34">
        <f t="shared" si="14"/>
        <v>-26399.65</v>
      </c>
      <c r="BN61" s="23">
        <v>-0.14799999999999999</v>
      </c>
      <c r="BO61" s="23">
        <f t="shared" si="23"/>
        <v>-0.14569484839598373</v>
      </c>
    </row>
    <row r="62" spans="1:67" x14ac:dyDescent="0.25">
      <c r="A62" s="9" t="s">
        <v>118</v>
      </c>
      <c r="B62" s="9" t="s">
        <v>146</v>
      </c>
      <c r="C62" s="10">
        <f t="shared" si="25"/>
        <v>13</v>
      </c>
      <c r="D62" s="8">
        <v>13</v>
      </c>
      <c r="E62" s="8">
        <v>0</v>
      </c>
      <c r="F62">
        <v>0</v>
      </c>
      <c r="G62">
        <v>0</v>
      </c>
      <c r="H62" s="8">
        <v>0</v>
      </c>
      <c r="I62">
        <v>0</v>
      </c>
      <c r="J62">
        <v>0</v>
      </c>
      <c r="L62" s="38">
        <v>1.5</v>
      </c>
      <c r="M62" s="23">
        <f t="shared" si="26"/>
        <v>0.11538461538461539</v>
      </c>
      <c r="N62" s="23">
        <f>M62/M77</f>
        <v>1.788569571126177E-3</v>
      </c>
      <c r="O62" s="33">
        <v>1</v>
      </c>
      <c r="P62" s="23">
        <f t="shared" si="27"/>
        <v>7.6923076923076927E-2</v>
      </c>
      <c r="Q62" s="40">
        <f>P62/P77</f>
        <v>5.14779012727679E-3</v>
      </c>
      <c r="R62" s="23">
        <f t="shared" si="28"/>
        <v>0.10576923076923077</v>
      </c>
      <c r="S62" s="40">
        <f>R62/R77</f>
        <v>2.0293441934422477E-3</v>
      </c>
      <c r="T62" s="40">
        <f t="shared" si="29"/>
        <v>2.6283747101638302E-3</v>
      </c>
      <c r="U62" s="34"/>
      <c r="V62" s="34">
        <f t="shared" si="24"/>
        <v>0</v>
      </c>
      <c r="W62" s="34"/>
      <c r="X62" s="40">
        <f>V62/V77</f>
        <v>0</v>
      </c>
      <c r="Y62" s="48">
        <f t="shared" si="30"/>
        <v>1.5770248260982981E-3</v>
      </c>
      <c r="Z62" s="48">
        <v>-0.76300000000000001</v>
      </c>
      <c r="AA62" s="137">
        <v>-0.247</v>
      </c>
      <c r="AB62" s="137">
        <f t="shared" si="19"/>
        <v>-0.24534162955911645</v>
      </c>
      <c r="AC62" s="61"/>
      <c r="AD62" s="40"/>
      <c r="AE62" s="40"/>
      <c r="AF62" s="37"/>
      <c r="AG62" s="37"/>
      <c r="AH62" s="23"/>
      <c r="AI62" s="23"/>
      <c r="AJ62" s="23"/>
      <c r="AK62" s="23"/>
      <c r="AL62" s="23"/>
      <c r="AM62" s="23"/>
      <c r="AN62" s="26"/>
      <c r="AS62">
        <v>2</v>
      </c>
      <c r="AT62">
        <v>2</v>
      </c>
      <c r="AU62">
        <f t="shared" si="20"/>
        <v>0</v>
      </c>
      <c r="AV62">
        <v>29</v>
      </c>
      <c r="AW62" s="119">
        <v>29.636839999999999</v>
      </c>
      <c r="AX62">
        <f t="shared" si="9"/>
        <v>-27</v>
      </c>
      <c r="AY62" s="119">
        <f t="shared" si="9"/>
        <v>-27.636839999999999</v>
      </c>
      <c r="AZ62" s="23">
        <v>-0.313</v>
      </c>
      <c r="BA62" s="23">
        <f t="shared" si="21"/>
        <v>-0.31092198305481822</v>
      </c>
      <c r="BB62" s="119">
        <v>1</v>
      </c>
      <c r="BC62" s="119">
        <v>4</v>
      </c>
      <c r="BD62" s="119">
        <f t="shared" si="12"/>
        <v>-3</v>
      </c>
      <c r="BE62" s="23">
        <v>-0.28199999999999997</v>
      </c>
      <c r="BF62" s="23">
        <v>-0.30499999999999999</v>
      </c>
      <c r="BG62" s="23">
        <f t="shared" si="22"/>
        <v>-0.30369148729111367</v>
      </c>
      <c r="BH62" s="34">
        <v>0</v>
      </c>
      <c r="BI62" s="77">
        <v>0</v>
      </c>
      <c r="BJ62" s="34">
        <v>31760</v>
      </c>
      <c r="BK62" s="34">
        <v>28426.74</v>
      </c>
      <c r="BL62">
        <f t="shared" si="14"/>
        <v>-31760</v>
      </c>
      <c r="BM62" s="34">
        <f t="shared" si="14"/>
        <v>-28426.74</v>
      </c>
      <c r="BN62" s="23">
        <v>-0.16</v>
      </c>
      <c r="BO62" s="23">
        <f t="shared" si="23"/>
        <v>-0.15781684296112061</v>
      </c>
    </row>
    <row r="63" spans="1:67" x14ac:dyDescent="0.25">
      <c r="A63" s="7" t="s">
        <v>129</v>
      </c>
      <c r="B63" s="7" t="s">
        <v>130</v>
      </c>
      <c r="C63" s="10">
        <f t="shared" si="25"/>
        <v>27</v>
      </c>
      <c r="D63">
        <v>0</v>
      </c>
      <c r="E63">
        <v>0</v>
      </c>
      <c r="F63">
        <v>0</v>
      </c>
      <c r="G63">
        <v>27</v>
      </c>
      <c r="H63">
        <v>0</v>
      </c>
      <c r="I63">
        <v>0</v>
      </c>
      <c r="J63">
        <v>0</v>
      </c>
      <c r="L63" s="38">
        <v>86</v>
      </c>
      <c r="M63" s="25">
        <f t="shared" si="26"/>
        <v>3.1851851851851851</v>
      </c>
      <c r="N63" s="23">
        <f>M63/M77</f>
        <v>4.9373352605409031E-2</v>
      </c>
      <c r="O63" s="33">
        <v>0.5</v>
      </c>
      <c r="P63" s="23">
        <f t="shared" si="27"/>
        <v>1.8518518518518517E-2</v>
      </c>
      <c r="Q63" s="40">
        <f>P63/P77</f>
        <v>1.2392828084184862E-3</v>
      </c>
      <c r="R63" s="23">
        <f t="shared" si="28"/>
        <v>2.3935185185185186</v>
      </c>
      <c r="S63" s="42">
        <f>R63/R77</f>
        <v>4.592330748863753E-2</v>
      </c>
      <c r="T63" s="42">
        <f t="shared" si="29"/>
        <v>3.7339835156161391E-2</v>
      </c>
      <c r="U63" s="34"/>
      <c r="V63" s="34">
        <f t="shared" si="24"/>
        <v>0</v>
      </c>
      <c r="W63" s="34"/>
      <c r="X63" s="40">
        <f>V63/V77</f>
        <v>0</v>
      </c>
      <c r="Y63" s="47">
        <f t="shared" si="30"/>
        <v>2.2403901093696835E-2</v>
      </c>
      <c r="Z63" s="47">
        <v>0.64600000000000002</v>
      </c>
      <c r="AA63" s="139">
        <v>0.33</v>
      </c>
      <c r="AB63" s="139">
        <f t="shared" si="19"/>
        <v>0.32954445807777116</v>
      </c>
      <c r="AC63" s="67">
        <f>AH63*AM$3</f>
        <v>37510.523370920106</v>
      </c>
      <c r="AD63" s="40">
        <f>C63*AK63</f>
        <v>0</v>
      </c>
      <c r="AE63" s="40" t="e">
        <f>C63*AL63</f>
        <v>#REF!</v>
      </c>
      <c r="AF63" s="37">
        <f>AI63*AN$3</f>
        <v>37199.265187124824</v>
      </c>
      <c r="AG63" s="37">
        <f>AF63-AC63</f>
        <v>-311.25818379528209</v>
      </c>
      <c r="AH63" s="23">
        <f>C63*AM63</f>
        <v>0.63447981200598169</v>
      </c>
      <c r="AI63" s="23">
        <f>C63*AN63</f>
        <v>0.61908021208892605</v>
      </c>
      <c r="AJ63" s="23"/>
      <c r="AK63" s="23"/>
      <c r="AL63" s="23" t="e">
        <f>Z63/#REF!</f>
        <v>#REF!</v>
      </c>
      <c r="AM63" s="23">
        <f>AA63/AO$2</f>
        <v>2.349925229651784E-2</v>
      </c>
      <c r="AN63" s="26">
        <f>AB63/AR$2</f>
        <v>2.29288967440343E-2</v>
      </c>
      <c r="AS63">
        <v>198</v>
      </c>
      <c r="AT63">
        <v>198</v>
      </c>
      <c r="AU63">
        <f t="shared" si="20"/>
        <v>0</v>
      </c>
      <c r="AV63">
        <v>61</v>
      </c>
      <c r="AW63" s="119">
        <v>61.553440000000002</v>
      </c>
      <c r="AX63">
        <f t="shared" si="9"/>
        <v>137</v>
      </c>
      <c r="AY63" s="119">
        <f t="shared" si="9"/>
        <v>136.44656000000001</v>
      </c>
      <c r="AZ63" s="23">
        <v>1.153</v>
      </c>
      <c r="BA63" s="23">
        <f t="shared" si="21"/>
        <v>1.1520932003230877</v>
      </c>
      <c r="BB63" s="119">
        <v>3</v>
      </c>
      <c r="BC63" s="119">
        <v>9</v>
      </c>
      <c r="BD63" s="119">
        <f t="shared" si="12"/>
        <v>-6</v>
      </c>
      <c r="BE63" s="23">
        <v>-0.40100000000000002</v>
      </c>
      <c r="BF63" s="23">
        <v>0.76400000000000001</v>
      </c>
      <c r="BG63" s="23">
        <f t="shared" si="22"/>
        <v>0.76381990024231583</v>
      </c>
      <c r="BH63" s="34">
        <v>0</v>
      </c>
      <c r="BI63" s="77">
        <v>0</v>
      </c>
      <c r="BJ63" s="34">
        <v>61253</v>
      </c>
      <c r="BK63" s="34">
        <v>55860.17</v>
      </c>
      <c r="BL63">
        <f t="shared" si="14"/>
        <v>-61253</v>
      </c>
      <c r="BM63" s="34">
        <f t="shared" si="14"/>
        <v>-55860.17</v>
      </c>
      <c r="BN63" s="23">
        <v>-0.32</v>
      </c>
      <c r="BO63" s="23">
        <f t="shared" si="23"/>
        <v>-0.32186870516904581</v>
      </c>
    </row>
    <row r="64" spans="1:67" x14ac:dyDescent="0.25">
      <c r="A64" s="7" t="s">
        <v>129</v>
      </c>
      <c r="B64" s="7" t="s">
        <v>147</v>
      </c>
      <c r="C64" s="10">
        <f t="shared" si="25"/>
        <v>9</v>
      </c>
      <c r="D64">
        <v>0</v>
      </c>
      <c r="E64">
        <v>9</v>
      </c>
      <c r="F64">
        <v>0</v>
      </c>
      <c r="G64">
        <v>0</v>
      </c>
      <c r="H64">
        <v>0</v>
      </c>
      <c r="I64">
        <v>0</v>
      </c>
      <c r="J64">
        <v>0</v>
      </c>
      <c r="L64" s="38">
        <v>2</v>
      </c>
      <c r="M64" s="23">
        <f t="shared" si="26"/>
        <v>0.22222222222222221</v>
      </c>
      <c r="N64" s="23">
        <f>M64/M77</f>
        <v>3.4446525073541182E-3</v>
      </c>
      <c r="O64" s="33">
        <v>1</v>
      </c>
      <c r="P64" s="23">
        <f t="shared" si="27"/>
        <v>0.1111111111111111</v>
      </c>
      <c r="Q64" s="40">
        <f>P64/P77</f>
        <v>7.4356968505109172E-3</v>
      </c>
      <c r="R64" s="23">
        <f t="shared" si="28"/>
        <v>0.19444444444444442</v>
      </c>
      <c r="S64" s="40">
        <f>R64/R77</f>
        <v>3.7307135677423133E-3</v>
      </c>
      <c r="T64" s="40">
        <f t="shared" si="29"/>
        <v>4.4424135931433184E-3</v>
      </c>
      <c r="U64" s="34"/>
      <c r="V64" s="34">
        <f t="shared" si="24"/>
        <v>0</v>
      </c>
      <c r="W64" s="34"/>
      <c r="X64" s="40">
        <f>V64/V77</f>
        <v>0</v>
      </c>
      <c r="Y64" s="48">
        <f t="shared" si="30"/>
        <v>2.6654481558859911E-3</v>
      </c>
      <c r="Z64" s="48">
        <v>-0.67300000000000004</v>
      </c>
      <c r="AA64" s="137">
        <v>-0.158</v>
      </c>
      <c r="AB64" s="137">
        <f t="shared" si="19"/>
        <v>-0.15529839684161612</v>
      </c>
      <c r="AC64" s="61"/>
      <c r="AD64" s="40"/>
      <c r="AE64" s="40"/>
      <c r="AF64" s="37"/>
      <c r="AG64" s="37"/>
      <c r="AH64" s="23"/>
      <c r="AI64" s="23"/>
      <c r="AJ64" s="23"/>
      <c r="AK64" s="23"/>
      <c r="AL64" s="23"/>
      <c r="AM64" s="23"/>
      <c r="AN64" s="26"/>
      <c r="AS64">
        <v>3</v>
      </c>
      <c r="AT64">
        <v>3</v>
      </c>
      <c r="AU64">
        <f t="shared" si="20"/>
        <v>0</v>
      </c>
      <c r="AV64">
        <v>20</v>
      </c>
      <c r="AW64" s="119">
        <v>20.517810000000001</v>
      </c>
      <c r="AX64">
        <f t="shared" si="9"/>
        <v>-17</v>
      </c>
      <c r="AY64" s="119">
        <f t="shared" si="9"/>
        <v>-17.517810000000001</v>
      </c>
      <c r="AZ64" s="23">
        <v>-0.224</v>
      </c>
      <c r="BA64" s="23">
        <f t="shared" si="21"/>
        <v>-0.22069777676060121</v>
      </c>
      <c r="BB64" s="119">
        <v>5</v>
      </c>
      <c r="BC64" s="119">
        <v>3</v>
      </c>
      <c r="BD64" s="119">
        <f t="shared" si="12"/>
        <v>2</v>
      </c>
      <c r="BE64" s="23">
        <v>-8.3000000000000004E-2</v>
      </c>
      <c r="BF64" s="23">
        <v>-0.188</v>
      </c>
      <c r="BG64" s="23">
        <f t="shared" si="22"/>
        <v>-0.18627333257045089</v>
      </c>
      <c r="BH64" s="34">
        <v>0</v>
      </c>
      <c r="BI64" s="77">
        <v>0</v>
      </c>
      <c r="BJ64" s="34">
        <v>22823</v>
      </c>
      <c r="BK64" s="34">
        <v>20235.96</v>
      </c>
      <c r="BL64">
        <f t="shared" si="14"/>
        <v>-22823</v>
      </c>
      <c r="BM64" s="34">
        <f t="shared" si="14"/>
        <v>-20235.96</v>
      </c>
      <c r="BN64" s="23">
        <v>-0.111</v>
      </c>
      <c r="BO64" s="23">
        <f t="shared" si="23"/>
        <v>-0.10883599324836393</v>
      </c>
    </row>
    <row r="65" spans="1:67" x14ac:dyDescent="0.25">
      <c r="A65" s="9" t="s">
        <v>135</v>
      </c>
      <c r="B65" s="9" t="s">
        <v>100</v>
      </c>
      <c r="C65" s="10">
        <f t="shared" si="25"/>
        <v>19</v>
      </c>
      <c r="D65" s="8">
        <v>6</v>
      </c>
      <c r="E65" s="8">
        <v>13</v>
      </c>
      <c r="F65">
        <v>0</v>
      </c>
      <c r="G65" s="8">
        <v>0</v>
      </c>
      <c r="H65">
        <v>0</v>
      </c>
      <c r="I65">
        <v>0</v>
      </c>
      <c r="J65">
        <v>0</v>
      </c>
      <c r="L65" s="38">
        <v>12</v>
      </c>
      <c r="M65" s="23">
        <f t="shared" si="26"/>
        <v>0.63157894736842102</v>
      </c>
      <c r="N65" s="23">
        <f>M65/M77</f>
        <v>9.7900650209011789E-3</v>
      </c>
      <c r="O65" s="33">
        <v>6</v>
      </c>
      <c r="P65" s="23">
        <f t="shared" si="27"/>
        <v>0.31578947368421051</v>
      </c>
      <c r="Q65" s="40">
        <f>P65/P77</f>
        <v>2.1133033154083661E-2</v>
      </c>
      <c r="R65" s="23">
        <f t="shared" si="28"/>
        <v>0.55263157894736836</v>
      </c>
      <c r="S65" s="40">
        <f>R65/R77</f>
        <v>1.0603080666214995E-2</v>
      </c>
      <c r="T65" s="40">
        <f t="shared" si="29"/>
        <v>1.2625807054196799E-2</v>
      </c>
      <c r="U65" s="34"/>
      <c r="V65" s="34">
        <f t="shared" si="24"/>
        <v>0</v>
      </c>
      <c r="W65" s="34"/>
      <c r="X65" s="40">
        <f>V65/V77</f>
        <v>0</v>
      </c>
      <c r="Y65" s="48">
        <f t="shared" si="30"/>
        <v>7.575484232518079E-3</v>
      </c>
      <c r="Z65" s="48">
        <v>-0.59399999999999997</v>
      </c>
      <c r="AA65" s="137">
        <v>-0.113</v>
      </c>
      <c r="AB65" s="137">
        <f t="shared" si="19"/>
        <v>-0.11069678246982631</v>
      </c>
      <c r="AC65" s="61"/>
      <c r="AD65" s="40"/>
      <c r="AE65" s="40"/>
      <c r="AF65" s="37"/>
      <c r="AG65" s="37"/>
      <c r="AH65" s="23"/>
      <c r="AI65" s="23"/>
      <c r="AJ65" s="23"/>
      <c r="AK65" s="23"/>
      <c r="AL65" s="23"/>
      <c r="AM65" s="23"/>
      <c r="AN65" s="26"/>
      <c r="AS65">
        <v>34</v>
      </c>
      <c r="AT65">
        <v>34</v>
      </c>
      <c r="AU65">
        <f t="shared" si="20"/>
        <v>0</v>
      </c>
      <c r="AV65">
        <v>43</v>
      </c>
      <c r="AW65" s="119">
        <v>43.315379999999998</v>
      </c>
      <c r="AX65">
        <f t="shared" si="9"/>
        <v>-9</v>
      </c>
      <c r="AY65" s="119">
        <f t="shared" si="9"/>
        <v>-9.3153799999999976</v>
      </c>
      <c r="AZ65" s="23">
        <v>-0.152</v>
      </c>
      <c r="BA65" s="23">
        <f t="shared" si="21"/>
        <v>-0.14756253193635671</v>
      </c>
      <c r="BB65" s="119">
        <v>18</v>
      </c>
      <c r="BC65" s="119">
        <v>6</v>
      </c>
      <c r="BD65" s="119">
        <f t="shared" si="12"/>
        <v>12</v>
      </c>
      <c r="BE65" s="23">
        <v>0.316</v>
      </c>
      <c r="BF65" s="23">
        <v>-3.5000000000000003E-2</v>
      </c>
      <c r="BG65" s="23">
        <f t="shared" si="22"/>
        <v>-3.1671898952267533E-2</v>
      </c>
      <c r="BH65" s="34">
        <v>0</v>
      </c>
      <c r="BI65" s="77">
        <v>0</v>
      </c>
      <c r="BJ65" s="34">
        <v>44667</v>
      </c>
      <c r="BK65" s="34">
        <v>40369.43</v>
      </c>
      <c r="BL65">
        <f t="shared" si="14"/>
        <v>-44667</v>
      </c>
      <c r="BM65" s="34">
        <f t="shared" si="14"/>
        <v>-40369.43</v>
      </c>
      <c r="BN65" s="23">
        <v>-0.23</v>
      </c>
      <c r="BO65" s="23">
        <f t="shared" si="23"/>
        <v>-0.22923410774616448</v>
      </c>
    </row>
    <row r="66" spans="1:67" x14ac:dyDescent="0.25">
      <c r="A66" s="7" t="s">
        <v>135</v>
      </c>
      <c r="B66" s="7" t="s">
        <v>136</v>
      </c>
      <c r="C66" s="10">
        <f t="shared" si="25"/>
        <v>43</v>
      </c>
      <c r="D66" s="8">
        <v>0</v>
      </c>
      <c r="E66" s="8">
        <v>43</v>
      </c>
      <c r="F66">
        <v>0</v>
      </c>
      <c r="G66" s="8">
        <v>0</v>
      </c>
      <c r="H66">
        <v>0</v>
      </c>
      <c r="I66">
        <v>0</v>
      </c>
      <c r="J66">
        <v>0</v>
      </c>
      <c r="L66" s="38">
        <v>34.5</v>
      </c>
      <c r="M66" s="23">
        <f t="shared" si="26"/>
        <v>0.80232558139534882</v>
      </c>
      <c r="N66" s="23">
        <f>M66/M77</f>
        <v>1.2436797715505276E-2</v>
      </c>
      <c r="O66" s="33">
        <v>3</v>
      </c>
      <c r="P66" s="23">
        <f t="shared" si="27"/>
        <v>6.9767441860465115E-2</v>
      </c>
      <c r="Q66" s="40">
        <f>P66/P77</f>
        <v>4.6689259293905766E-3</v>
      </c>
      <c r="R66" s="23">
        <f t="shared" si="28"/>
        <v>0.6191860465116279</v>
      </c>
      <c r="S66" s="40">
        <f>R66/R77</f>
        <v>1.1880029749770789E-2</v>
      </c>
      <c r="T66" s="40">
        <f t="shared" si="29"/>
        <v>1.04948297689766E-2</v>
      </c>
      <c r="U66" s="34">
        <v>41945</v>
      </c>
      <c r="V66" s="34">
        <f>U66/C66</f>
        <v>975.46511627906978</v>
      </c>
      <c r="W66" s="34"/>
      <c r="X66" s="40">
        <f>V66/V77</f>
        <v>1.2526341736637693E-2</v>
      </c>
      <c r="Y66" s="48">
        <f t="shared" si="30"/>
        <v>1.1307434556041038E-2</v>
      </c>
      <c r="Z66" s="48">
        <v>8.9999999999999993E-3</v>
      </c>
      <c r="AA66" s="137">
        <v>-0.46</v>
      </c>
      <c r="AB66" s="137">
        <f t="shared" si="19"/>
        <v>-0.46815883520371737</v>
      </c>
      <c r="AC66" s="61"/>
      <c r="AD66" s="40"/>
      <c r="AE66" s="40"/>
      <c r="AF66" s="37"/>
      <c r="AG66" s="37"/>
      <c r="AH66" s="23"/>
      <c r="AI66" s="23"/>
      <c r="AJ66" s="23"/>
      <c r="AK66" s="23"/>
      <c r="AL66" s="23"/>
      <c r="AM66" s="23"/>
      <c r="AN66" s="26"/>
      <c r="AS66">
        <v>62</v>
      </c>
      <c r="AT66">
        <v>61</v>
      </c>
      <c r="AU66">
        <f t="shared" si="20"/>
        <v>1</v>
      </c>
      <c r="AV66">
        <v>97</v>
      </c>
      <c r="AW66" s="119">
        <v>98.02955</v>
      </c>
      <c r="AX66">
        <f t="shared" si="9"/>
        <v>-35</v>
      </c>
      <c r="AY66" s="119">
        <f t="shared" si="9"/>
        <v>-37.02955</v>
      </c>
      <c r="AZ66" s="23">
        <v>-0.38400000000000001</v>
      </c>
      <c r="BA66" s="23">
        <f t="shared" si="21"/>
        <v>-0.39467010957502374</v>
      </c>
      <c r="BB66" s="119">
        <v>3</v>
      </c>
      <c r="BC66" s="119">
        <v>14</v>
      </c>
      <c r="BD66" s="119">
        <f t="shared" si="12"/>
        <v>-11</v>
      </c>
      <c r="BE66" s="23">
        <v>-0.6</v>
      </c>
      <c r="BF66" s="23">
        <v>-0.438</v>
      </c>
      <c r="BG66" s="23">
        <f t="shared" si="22"/>
        <v>-0.44600258218126776</v>
      </c>
      <c r="BH66" s="34">
        <v>0</v>
      </c>
      <c r="BI66" s="77">
        <v>0</v>
      </c>
      <c r="BJ66" s="34">
        <v>93056</v>
      </c>
      <c r="BK66" s="34">
        <v>85881</v>
      </c>
      <c r="BL66">
        <f t="shared" si="14"/>
        <v>-93056</v>
      </c>
      <c r="BM66" s="34">
        <f t="shared" si="14"/>
        <v>-85881</v>
      </c>
      <c r="BN66" s="23">
        <v>-0.49299999999999999</v>
      </c>
      <c r="BO66" s="23">
        <f t="shared" si="23"/>
        <v>-0.50139321473739185</v>
      </c>
    </row>
    <row r="67" spans="1:67" x14ac:dyDescent="0.25">
      <c r="A67" s="9" t="s">
        <v>135</v>
      </c>
      <c r="B67" s="9" t="s">
        <v>137</v>
      </c>
      <c r="C67" s="10">
        <f t="shared" ref="C67:C74" si="31">SUM(D67:J67)</f>
        <v>75</v>
      </c>
      <c r="D67" s="8">
        <v>0</v>
      </c>
      <c r="E67" s="8">
        <v>75</v>
      </c>
      <c r="F67">
        <v>0</v>
      </c>
      <c r="G67" s="8">
        <v>0</v>
      </c>
      <c r="H67">
        <v>0</v>
      </c>
      <c r="I67">
        <v>0</v>
      </c>
      <c r="J67">
        <v>0</v>
      </c>
      <c r="L67" s="38">
        <v>34</v>
      </c>
      <c r="M67" s="23">
        <f t="shared" ref="M67:M75" si="32">L67/C67</f>
        <v>0.45333333333333331</v>
      </c>
      <c r="N67" s="23">
        <f>M67/M77</f>
        <v>7.0270911150024009E-3</v>
      </c>
      <c r="O67" s="33">
        <v>11.5</v>
      </c>
      <c r="P67" s="23">
        <f t="shared" ref="P67:P75" si="33">O67/C67</f>
        <v>0.15333333333333332</v>
      </c>
      <c r="Q67" s="40">
        <f>P67/P77</f>
        <v>1.0261261653705066E-2</v>
      </c>
      <c r="R67" s="23">
        <f t="shared" ref="R67:R75" si="34">(0.75*M67)+(0.25*P67)</f>
        <v>0.3783333333333333</v>
      </c>
      <c r="S67" s="40">
        <f>R67/R77</f>
        <v>7.2589026846643298E-3</v>
      </c>
      <c r="T67" s="40">
        <f t="shared" ref="T67:T74" si="35">(0.75*N67)+(0.25*Q67)</f>
        <v>7.8356337496780677E-3</v>
      </c>
      <c r="U67" s="34"/>
      <c r="V67" s="34">
        <f t="shared" si="24"/>
        <v>0</v>
      </c>
      <c r="W67" s="34"/>
      <c r="X67" s="40">
        <f>V67/V77</f>
        <v>0</v>
      </c>
      <c r="Y67" s="48">
        <f t="shared" ref="Y67:Y98" si="36">(0.6*T67)+(0.4*X67)</f>
        <v>4.7013802498068408E-3</v>
      </c>
      <c r="Z67" s="48">
        <v>-0.312</v>
      </c>
      <c r="AA67" s="137">
        <v>-0.64100000000000001</v>
      </c>
      <c r="AB67" s="137">
        <f t="shared" si="19"/>
        <v>-0.64072236859350862</v>
      </c>
      <c r="AC67" s="40"/>
      <c r="AD67" s="40"/>
      <c r="AF67" s="37"/>
      <c r="AG67" s="37"/>
      <c r="AH67" s="23"/>
      <c r="AI67" s="23"/>
      <c r="AJ67" s="23"/>
      <c r="AK67" s="23"/>
      <c r="AL67" s="23"/>
      <c r="AM67" s="23"/>
      <c r="AN67" s="26"/>
      <c r="AS67">
        <v>82</v>
      </c>
      <c r="AT67">
        <v>82</v>
      </c>
      <c r="AU67">
        <f t="shared" si="20"/>
        <v>0</v>
      </c>
      <c r="AV67">
        <v>170</v>
      </c>
      <c r="AW67" s="119">
        <v>170.98177000000001</v>
      </c>
      <c r="AX67">
        <f t="shared" si="9"/>
        <v>-88</v>
      </c>
      <c r="AY67" s="119">
        <f t="shared" si="9"/>
        <v>-88.981770000000012</v>
      </c>
      <c r="AZ67" s="23">
        <v>-0.85799999999999998</v>
      </c>
      <c r="BA67" s="23">
        <f t="shared" si="21"/>
        <v>-0.85789117075604104</v>
      </c>
      <c r="BB67" s="119">
        <v>22</v>
      </c>
      <c r="BC67" s="119">
        <v>24</v>
      </c>
      <c r="BD67" s="119">
        <f t="shared" si="12"/>
        <v>-2</v>
      </c>
      <c r="BE67" s="23">
        <v>-0.24199999999999999</v>
      </c>
      <c r="BF67" s="23">
        <v>-0.70399999999999996</v>
      </c>
      <c r="BG67" s="23">
        <f t="shared" si="22"/>
        <v>-0.70391837806703084</v>
      </c>
      <c r="BH67" s="34">
        <v>50283</v>
      </c>
      <c r="BI67" s="77">
        <v>50283</v>
      </c>
      <c r="BJ67" s="34">
        <v>153409</v>
      </c>
      <c r="BK67" s="34">
        <v>143611.35</v>
      </c>
      <c r="BL67">
        <f t="shared" si="14"/>
        <v>-103126</v>
      </c>
      <c r="BM67" s="34">
        <f t="shared" si="14"/>
        <v>-93328.35</v>
      </c>
      <c r="BN67" s="23">
        <v>-0.54700000000000004</v>
      </c>
      <c r="BO67" s="23">
        <f t="shared" si="23"/>
        <v>-0.54592835438322518</v>
      </c>
    </row>
    <row r="68" spans="1:67" x14ac:dyDescent="0.25">
      <c r="A68" s="7" t="s">
        <v>135</v>
      </c>
      <c r="B68" s="7" t="s">
        <v>113</v>
      </c>
      <c r="C68" s="32">
        <f t="shared" si="31"/>
        <v>1</v>
      </c>
      <c r="D68" s="8">
        <v>0</v>
      </c>
      <c r="E68" s="8">
        <v>0</v>
      </c>
      <c r="F68">
        <v>0</v>
      </c>
      <c r="G68" s="8">
        <v>1</v>
      </c>
      <c r="H68">
        <v>0</v>
      </c>
      <c r="I68">
        <v>0</v>
      </c>
      <c r="J68">
        <v>0</v>
      </c>
      <c r="L68" s="38">
        <v>0</v>
      </c>
      <c r="M68" s="23">
        <f t="shared" si="32"/>
        <v>0</v>
      </c>
      <c r="N68" s="23">
        <f>M68/M77</f>
        <v>0</v>
      </c>
      <c r="O68" s="33">
        <v>0</v>
      </c>
      <c r="P68" s="23">
        <f t="shared" si="33"/>
        <v>0</v>
      </c>
      <c r="Q68" s="40">
        <f>P68/P77</f>
        <v>0</v>
      </c>
      <c r="R68" s="23">
        <f t="shared" si="34"/>
        <v>0</v>
      </c>
      <c r="S68" s="40">
        <f>R68/R77</f>
        <v>0</v>
      </c>
      <c r="T68" s="40">
        <f t="shared" si="35"/>
        <v>0</v>
      </c>
      <c r="U68" s="34"/>
      <c r="V68" s="34">
        <f t="shared" si="24"/>
        <v>0</v>
      </c>
      <c r="W68" s="34"/>
      <c r="X68" s="40">
        <f>V68/V77</f>
        <v>0</v>
      </c>
      <c r="Y68" s="48">
        <f t="shared" si="36"/>
        <v>0</v>
      </c>
      <c r="Z68" s="48"/>
      <c r="AA68" s="23"/>
      <c r="AC68" s="40"/>
      <c r="AD68" s="40"/>
      <c r="AF68" s="37"/>
      <c r="AG68" s="37"/>
      <c r="AH68" s="23"/>
      <c r="AI68" s="23"/>
      <c r="AJ68" s="23"/>
      <c r="AK68" s="23"/>
      <c r="AL68" s="23"/>
      <c r="AM68" s="23"/>
      <c r="AN68" s="26"/>
      <c r="BD68" s="119"/>
      <c r="BH68" s="34"/>
      <c r="BI68" s="77">
        <v>0</v>
      </c>
      <c r="BJ68" s="34"/>
      <c r="BO68" s="23"/>
    </row>
    <row r="69" spans="1:67" x14ac:dyDescent="0.25">
      <c r="A69" s="9" t="s">
        <v>135</v>
      </c>
      <c r="B69" s="9" t="s">
        <v>139</v>
      </c>
      <c r="C69" s="10">
        <f t="shared" si="31"/>
        <v>6</v>
      </c>
      <c r="D69" s="8">
        <v>0</v>
      </c>
      <c r="E69" s="8">
        <v>0</v>
      </c>
      <c r="F69">
        <v>0</v>
      </c>
      <c r="G69" s="8">
        <v>6</v>
      </c>
      <c r="H69">
        <v>0</v>
      </c>
      <c r="I69">
        <v>0</v>
      </c>
      <c r="J69">
        <v>0</v>
      </c>
      <c r="L69" s="38">
        <v>5</v>
      </c>
      <c r="M69" s="23">
        <f t="shared" si="32"/>
        <v>0.83333333333333337</v>
      </c>
      <c r="N69" s="23">
        <f>M69/M77</f>
        <v>1.2917446902577946E-2</v>
      </c>
      <c r="O69" s="33">
        <v>0</v>
      </c>
      <c r="P69" s="23">
        <f t="shared" si="33"/>
        <v>0</v>
      </c>
      <c r="Q69" s="40">
        <f>P69/P77</f>
        <v>0</v>
      </c>
      <c r="R69" s="23">
        <f t="shared" si="34"/>
        <v>0.625</v>
      </c>
      <c r="S69" s="40">
        <f>R69/R77</f>
        <v>1.1991579324886007E-2</v>
      </c>
      <c r="T69" s="40">
        <f t="shared" si="35"/>
        <v>9.68808517693346E-3</v>
      </c>
      <c r="U69" s="34"/>
      <c r="V69" s="34">
        <f t="shared" si="24"/>
        <v>0</v>
      </c>
      <c r="W69" s="34"/>
      <c r="X69" s="40">
        <f>V69/V77</f>
        <v>0</v>
      </c>
      <c r="Y69" s="48">
        <f t="shared" si="36"/>
        <v>5.8128511061600755E-3</v>
      </c>
      <c r="Z69" s="48">
        <v>-0.36299999999999999</v>
      </c>
      <c r="AA69" s="137">
        <v>-4.5999999999999999E-2</v>
      </c>
      <c r="AB69" s="137">
        <f t="shared" ref="AB69:AB74" si="37">(0.6*BG69)+(0.4*BO69)</f>
        <v>-4.0282781593912145E-2</v>
      </c>
      <c r="AC69" s="40"/>
      <c r="AD69" s="40"/>
      <c r="AF69" s="37"/>
      <c r="AG69" s="37"/>
      <c r="AH69" s="23"/>
      <c r="AI69" s="23"/>
      <c r="AJ69" s="23"/>
      <c r="AK69" s="23"/>
      <c r="AL69" s="23"/>
      <c r="AM69" s="23"/>
      <c r="AN69" s="26"/>
      <c r="AS69">
        <v>27</v>
      </c>
      <c r="AT69">
        <v>27</v>
      </c>
      <c r="AV69">
        <v>14</v>
      </c>
      <c r="AW69" s="119">
        <v>13.67854</v>
      </c>
      <c r="AX69">
        <f t="shared" ref="AX69:AY74" si="38">AS69-AV69</f>
        <v>13</v>
      </c>
      <c r="AY69" s="119">
        <f t="shared" si="9"/>
        <v>13.32146</v>
      </c>
      <c r="AZ69" s="23">
        <v>4.4999999999999998E-2</v>
      </c>
      <c r="BA69" s="23">
        <f t="shared" si="21"/>
        <v>5.4274098848331516E-2</v>
      </c>
      <c r="BB69" s="119">
        <v>0</v>
      </c>
      <c r="BC69" s="119">
        <v>2</v>
      </c>
      <c r="BD69" s="119">
        <f t="shared" ref="BD69:BD74" si="39">BB69-BC69</f>
        <v>-2</v>
      </c>
      <c r="BE69" s="23">
        <v>-0.24199999999999999</v>
      </c>
      <c r="BF69" s="23">
        <v>-2.7E-2</v>
      </c>
      <c r="BG69" s="23">
        <f t="shared" si="22"/>
        <v>-1.979442586375136E-2</v>
      </c>
      <c r="BH69" s="34">
        <v>0</v>
      </c>
      <c r="BI69" s="77">
        <v>0</v>
      </c>
      <c r="BJ69" s="34">
        <v>15854</v>
      </c>
      <c r="BK69" s="34">
        <v>13911.43</v>
      </c>
      <c r="BL69">
        <f t="shared" ref="BL69:BM74" si="40">BH69-BJ69</f>
        <v>-15854</v>
      </c>
      <c r="BM69" s="34">
        <f t="shared" si="14"/>
        <v>-13911.43</v>
      </c>
      <c r="BN69" s="23">
        <v>-7.3999999999999996E-2</v>
      </c>
      <c r="BO69" s="23">
        <f t="shared" si="23"/>
        <v>-7.1015315189153327E-2</v>
      </c>
    </row>
    <row r="70" spans="1:67" x14ac:dyDescent="0.25">
      <c r="A70" s="9" t="s">
        <v>140</v>
      </c>
      <c r="B70" s="9" t="s">
        <v>107</v>
      </c>
      <c r="C70" s="10">
        <f t="shared" si="31"/>
        <v>86</v>
      </c>
      <c r="D70">
        <v>57</v>
      </c>
      <c r="E70">
        <v>13</v>
      </c>
      <c r="F70">
        <v>0</v>
      </c>
      <c r="G70">
        <v>10</v>
      </c>
      <c r="H70">
        <v>6</v>
      </c>
      <c r="I70">
        <v>0</v>
      </c>
      <c r="J70">
        <v>0</v>
      </c>
      <c r="L70" s="38">
        <v>32</v>
      </c>
      <c r="M70" s="23">
        <f t="shared" si="32"/>
        <v>0.37209302325581395</v>
      </c>
      <c r="N70" s="23">
        <f>M70/M77</f>
        <v>5.7677902448720125E-3</v>
      </c>
      <c r="O70" s="33">
        <v>19.5</v>
      </c>
      <c r="P70" s="23">
        <f t="shared" si="33"/>
        <v>0.22674418604651161</v>
      </c>
      <c r="Q70" s="40">
        <f>P70/P77</f>
        <v>1.5174009270519373E-2</v>
      </c>
      <c r="R70" s="23">
        <f t="shared" si="34"/>
        <v>0.33575581395348836</v>
      </c>
      <c r="S70" s="40">
        <f>R70/R77</f>
        <v>6.4419879629038787E-3</v>
      </c>
      <c r="T70" s="40">
        <f t="shared" si="35"/>
        <v>8.1193450012838515E-3</v>
      </c>
      <c r="U70" s="34"/>
      <c r="V70" s="34">
        <f t="shared" si="24"/>
        <v>0</v>
      </c>
      <c r="W70" s="34"/>
      <c r="X70" s="40">
        <f>V70/V77</f>
        <v>0</v>
      </c>
      <c r="Y70" s="48">
        <f t="shared" si="36"/>
        <v>4.8716070007703109E-3</v>
      </c>
      <c r="Z70" s="48">
        <v>-0.76800000000000002</v>
      </c>
      <c r="AA70" s="137">
        <v>-1.0049999999999999</v>
      </c>
      <c r="AB70" s="137">
        <f t="shared" si="37"/>
        <v>-1.0180344766082323</v>
      </c>
      <c r="AC70" s="40"/>
      <c r="AD70" s="40"/>
      <c r="AF70" s="37"/>
      <c r="AG70" s="37"/>
      <c r="AH70" s="23"/>
      <c r="AI70" s="23"/>
      <c r="AJ70" s="23"/>
      <c r="AK70" s="23"/>
      <c r="AL70" s="23"/>
      <c r="AM70" s="23"/>
      <c r="AN70" s="26"/>
      <c r="AS70">
        <v>62</v>
      </c>
      <c r="AT70">
        <v>62</v>
      </c>
      <c r="AV70">
        <v>195</v>
      </c>
      <c r="AW70" s="119">
        <v>196.0591</v>
      </c>
      <c r="AX70">
        <f t="shared" si="38"/>
        <v>-133</v>
      </c>
      <c r="AY70" s="119">
        <f t="shared" si="38"/>
        <v>-134.0591</v>
      </c>
      <c r="AZ70" s="23">
        <v>-1.26</v>
      </c>
      <c r="BA70" s="23">
        <f t="shared" si="21"/>
        <v>-1.2598137187781833</v>
      </c>
      <c r="BB70" s="119">
        <v>21</v>
      </c>
      <c r="BC70" s="119">
        <v>28</v>
      </c>
      <c r="BD70" s="119">
        <f t="shared" si="39"/>
        <v>-7</v>
      </c>
      <c r="BE70" s="23">
        <v>-0.441</v>
      </c>
      <c r="BF70" s="23">
        <v>-1.0549999999999999</v>
      </c>
      <c r="BG70" s="23">
        <f t="shared" si="22"/>
        <v>-1.0551102890836375</v>
      </c>
      <c r="BH70" s="34">
        <v>0</v>
      </c>
      <c r="BI70" s="77">
        <v>0</v>
      </c>
      <c r="BJ70" s="34">
        <v>173485</v>
      </c>
      <c r="BK70" s="34">
        <v>162975.93</v>
      </c>
      <c r="BL70">
        <f t="shared" si="40"/>
        <v>-173485</v>
      </c>
      <c r="BM70" s="34">
        <f t="shared" si="40"/>
        <v>-162975.93</v>
      </c>
      <c r="BN70" s="23">
        <v>-0.92900000000000005</v>
      </c>
      <c r="BO70" s="23">
        <f t="shared" si="23"/>
        <v>-0.9624207578951246</v>
      </c>
    </row>
    <row r="71" spans="1:67" x14ac:dyDescent="0.25">
      <c r="A71" s="7" t="s">
        <v>140</v>
      </c>
      <c r="B71" s="7" t="s">
        <v>108</v>
      </c>
      <c r="C71" s="10">
        <f t="shared" si="31"/>
        <v>18</v>
      </c>
      <c r="D71">
        <v>7</v>
      </c>
      <c r="E71">
        <v>11</v>
      </c>
      <c r="F71">
        <v>0</v>
      </c>
      <c r="G71">
        <v>0</v>
      </c>
      <c r="H71">
        <v>0</v>
      </c>
      <c r="I71">
        <v>0</v>
      </c>
      <c r="J71">
        <v>0</v>
      </c>
      <c r="L71" s="38">
        <v>3.5</v>
      </c>
      <c r="M71" s="23">
        <f t="shared" si="32"/>
        <v>0.19444444444444445</v>
      </c>
      <c r="N71" s="23">
        <f>M71/M77</f>
        <v>3.0140709439348537E-3</v>
      </c>
      <c r="O71" s="33">
        <v>7.5</v>
      </c>
      <c r="P71" s="23">
        <f t="shared" si="33"/>
        <v>0.41666666666666669</v>
      </c>
      <c r="Q71" s="40">
        <f>P71/P77</f>
        <v>2.7883863189415943E-2</v>
      </c>
      <c r="R71" s="23">
        <f t="shared" si="34"/>
        <v>0.25</v>
      </c>
      <c r="S71" s="40">
        <f>R71/R77</f>
        <v>4.7966317299544033E-3</v>
      </c>
      <c r="T71" s="40">
        <f t="shared" si="35"/>
        <v>9.2315190053051249E-3</v>
      </c>
      <c r="U71" s="34">
        <v>31200</v>
      </c>
      <c r="V71" s="72">
        <f>U71/C71</f>
        <v>1733.3333333333333</v>
      </c>
      <c r="W71" s="72"/>
      <c r="X71" s="40">
        <f>V71/V77</f>
        <v>2.2258433760974194E-2</v>
      </c>
      <c r="Y71" s="48">
        <f t="shared" si="36"/>
        <v>1.4442284907572753E-2</v>
      </c>
      <c r="Z71" s="48">
        <v>-0.47599999999999998</v>
      </c>
      <c r="AA71" s="137">
        <v>-0.24099999999999999</v>
      </c>
      <c r="AB71" s="137">
        <f t="shared" si="37"/>
        <v>-0.1811187728132865</v>
      </c>
      <c r="AC71" s="40"/>
      <c r="AD71" s="40"/>
      <c r="AF71" s="37"/>
      <c r="AG71" s="37"/>
      <c r="AH71" s="23"/>
      <c r="AI71" s="23"/>
      <c r="AJ71" s="23"/>
      <c r="AK71" s="23"/>
      <c r="AL71" s="23"/>
      <c r="AM71" s="23"/>
      <c r="AN71" s="26"/>
      <c r="AS71">
        <v>10</v>
      </c>
      <c r="AT71">
        <v>10</v>
      </c>
      <c r="AV71">
        <v>41</v>
      </c>
      <c r="AW71" s="119">
        <v>41.035629999999998</v>
      </c>
      <c r="AX71">
        <f t="shared" si="38"/>
        <v>-31</v>
      </c>
      <c r="AY71" s="119">
        <f t="shared" si="38"/>
        <v>-31.035629999999998</v>
      </c>
      <c r="AZ71" s="23">
        <v>-0.34899999999999998</v>
      </c>
      <c r="BA71" s="23">
        <f t="shared" si="21"/>
        <v>-0.34122658044317672</v>
      </c>
      <c r="BB71" s="119">
        <v>6</v>
      </c>
      <c r="BC71" s="119">
        <v>6</v>
      </c>
      <c r="BD71" s="119">
        <f t="shared" si="39"/>
        <v>0</v>
      </c>
      <c r="BE71" s="23">
        <v>-0.16200000000000001</v>
      </c>
      <c r="BF71" s="23">
        <v>-0.30199999999999999</v>
      </c>
      <c r="BG71" s="23">
        <f t="shared" si="22"/>
        <v>-0.29641993533238253</v>
      </c>
      <c r="BH71" s="34">
        <v>12800</v>
      </c>
      <c r="BI71" s="77">
        <v>35000</v>
      </c>
      <c r="BJ71" s="34">
        <v>42549</v>
      </c>
      <c r="BK71" s="34">
        <v>38401.68</v>
      </c>
      <c r="BL71">
        <f t="shared" si="40"/>
        <v>-29749</v>
      </c>
      <c r="BM71" s="34">
        <f t="shared" si="40"/>
        <v>-3401.6800000000003</v>
      </c>
      <c r="BN71" s="23">
        <v>-0.14899999999999999</v>
      </c>
      <c r="BO71" s="23">
        <f t="shared" si="23"/>
        <v>-8.1670290346424843E-3</v>
      </c>
    </row>
    <row r="72" spans="1:67" x14ac:dyDescent="0.25">
      <c r="A72" s="9" t="s">
        <v>140</v>
      </c>
      <c r="B72" s="9" t="s">
        <v>100</v>
      </c>
      <c r="C72" s="10">
        <f t="shared" si="31"/>
        <v>8</v>
      </c>
      <c r="D72">
        <v>0</v>
      </c>
      <c r="E72">
        <v>8</v>
      </c>
      <c r="F72">
        <v>0</v>
      </c>
      <c r="G72">
        <v>0</v>
      </c>
      <c r="H72">
        <v>0</v>
      </c>
      <c r="I72">
        <v>0</v>
      </c>
      <c r="J72">
        <v>0</v>
      </c>
      <c r="L72" s="38">
        <v>17.5</v>
      </c>
      <c r="M72" s="25">
        <f t="shared" si="32"/>
        <v>2.1875</v>
      </c>
      <c r="N72" s="23">
        <f>M72/M77</f>
        <v>3.3908298119267107E-2</v>
      </c>
      <c r="O72" s="33">
        <v>1</v>
      </c>
      <c r="P72" s="23">
        <f t="shared" si="33"/>
        <v>0.125</v>
      </c>
      <c r="Q72" s="40">
        <f>P72/P77</f>
        <v>8.3651589568247836E-3</v>
      </c>
      <c r="R72" s="23">
        <f t="shared" si="34"/>
        <v>1.671875</v>
      </c>
      <c r="S72" s="42">
        <f>R72/R77</f>
        <v>3.2077474694070074E-2</v>
      </c>
      <c r="T72" s="42">
        <f t="shared" si="35"/>
        <v>2.7522513328656528E-2</v>
      </c>
      <c r="U72" s="34"/>
      <c r="V72" s="34">
        <f t="shared" si="24"/>
        <v>0</v>
      </c>
      <c r="W72" s="34"/>
      <c r="X72" s="40">
        <f>V72/V77</f>
        <v>0</v>
      </c>
      <c r="Y72" s="48">
        <f t="shared" si="36"/>
        <v>1.6513507997193914E-2</v>
      </c>
      <c r="Z72" s="48">
        <v>-0.153</v>
      </c>
      <c r="AA72" s="137">
        <v>-3.5999999999999997E-2</v>
      </c>
      <c r="AB72" s="137">
        <f t="shared" si="37"/>
        <v>-3.263871829710694E-2</v>
      </c>
      <c r="AC72" s="40"/>
      <c r="AD72" s="40"/>
      <c r="AF72" s="37"/>
      <c r="AG72" s="37"/>
      <c r="AH72" s="23"/>
      <c r="AI72" s="23"/>
      <c r="AJ72" s="23"/>
      <c r="AK72" s="23"/>
      <c r="AL72" s="23"/>
      <c r="AM72" s="23"/>
      <c r="AN72" s="26"/>
      <c r="AS72">
        <v>33</v>
      </c>
      <c r="AT72">
        <v>33</v>
      </c>
      <c r="AV72">
        <v>18</v>
      </c>
      <c r="AW72" s="119">
        <v>18.238060000000001</v>
      </c>
      <c r="AX72">
        <f t="shared" si="38"/>
        <v>15</v>
      </c>
      <c r="AY72" s="119">
        <f t="shared" si="38"/>
        <v>14.761939999999999</v>
      </c>
      <c r="AZ72" s="23">
        <v>6.2E-2</v>
      </c>
      <c r="BA72" s="23">
        <f t="shared" si="21"/>
        <v>6.7117836309599416E-2</v>
      </c>
      <c r="BB72" s="119">
        <v>3</v>
      </c>
      <c r="BC72" s="119">
        <v>3</v>
      </c>
      <c r="BD72" s="119">
        <f t="shared" si="39"/>
        <v>0</v>
      </c>
      <c r="BE72" s="23">
        <v>-0.16200000000000001</v>
      </c>
      <c r="BF72" s="23">
        <v>6.0000000000000001E-3</v>
      </c>
      <c r="BG72" s="23">
        <f t="shared" si="22"/>
        <v>9.8383772321995605E-3</v>
      </c>
      <c r="BH72" s="34">
        <v>0</v>
      </c>
      <c r="BI72" s="77">
        <v>0</v>
      </c>
      <c r="BJ72" s="34">
        <v>20531</v>
      </c>
      <c r="BK72" s="34">
        <v>18148.73</v>
      </c>
      <c r="BL72">
        <f t="shared" si="40"/>
        <v>-20531</v>
      </c>
      <c r="BM72" s="34">
        <f t="shared" si="40"/>
        <v>-18148.73</v>
      </c>
      <c r="BN72" s="23">
        <v>-9.9000000000000005E-2</v>
      </c>
      <c r="BO72" s="23">
        <f t="shared" si="23"/>
        <v>-9.6354361591066681E-2</v>
      </c>
    </row>
    <row r="73" spans="1:67" x14ac:dyDescent="0.25">
      <c r="A73" s="9" t="s">
        <v>141</v>
      </c>
      <c r="B73" s="9" t="s">
        <v>107</v>
      </c>
      <c r="C73" s="10">
        <f t="shared" si="31"/>
        <v>48</v>
      </c>
      <c r="D73" s="8">
        <v>48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L73" s="38">
        <v>14.5</v>
      </c>
      <c r="M73" s="23">
        <f t="shared" si="32"/>
        <v>0.30208333333333331</v>
      </c>
      <c r="N73" s="23">
        <f>M73/M77</f>
        <v>4.6825745021845042E-3</v>
      </c>
      <c r="O73" s="33">
        <v>1</v>
      </c>
      <c r="P73" s="23">
        <f t="shared" si="33"/>
        <v>2.0833333333333332E-2</v>
      </c>
      <c r="Q73" s="40">
        <f>P73/P77</f>
        <v>1.394193159470797E-3</v>
      </c>
      <c r="R73" s="23">
        <f t="shared" si="34"/>
        <v>0.23177083333333334</v>
      </c>
      <c r="S73" s="40">
        <f>R73/R77</f>
        <v>4.4468773329785615E-3</v>
      </c>
      <c r="T73" s="40">
        <f t="shared" si="35"/>
        <v>3.8604791665060771E-3</v>
      </c>
      <c r="U73" s="34"/>
      <c r="V73" s="34">
        <f t="shared" si="24"/>
        <v>0</v>
      </c>
      <c r="W73" s="34"/>
      <c r="X73" s="40">
        <f>V73/V77</f>
        <v>0</v>
      </c>
      <c r="Y73" s="48">
        <f t="shared" si="36"/>
        <v>2.316287499903646E-3</v>
      </c>
      <c r="Z73" s="48">
        <v>-0.76100000000000001</v>
      </c>
      <c r="AA73" s="137">
        <v>-0.16</v>
      </c>
      <c r="AB73" s="137">
        <f t="shared" si="37"/>
        <v>-0.11178274948662953</v>
      </c>
      <c r="AC73" s="40"/>
      <c r="AD73" s="40"/>
      <c r="AF73" s="37"/>
      <c r="AG73" s="37"/>
      <c r="AH73" s="23"/>
      <c r="AI73" s="23"/>
      <c r="AJ73" s="23"/>
      <c r="AK73" s="23"/>
      <c r="AL73" s="23"/>
      <c r="AM73" s="23"/>
      <c r="AN73" s="26"/>
      <c r="AS73">
        <v>35</v>
      </c>
      <c r="AT73">
        <v>35</v>
      </c>
      <c r="AV73">
        <v>109</v>
      </c>
      <c r="AW73" s="119">
        <v>109.42833</v>
      </c>
      <c r="AX73">
        <f t="shared" si="38"/>
        <v>-74</v>
      </c>
      <c r="AY73" s="119">
        <f t="shared" si="38"/>
        <v>-74.428330000000003</v>
      </c>
      <c r="AZ73" s="23">
        <v>-0.73299999999999998</v>
      </c>
      <c r="BA73" s="23">
        <f t="shared" si="21"/>
        <v>-0.72812847879342102</v>
      </c>
      <c r="BB73" s="119">
        <v>1</v>
      </c>
      <c r="BC73" s="119">
        <v>15</v>
      </c>
      <c r="BD73" s="119">
        <f t="shared" si="39"/>
        <v>-14</v>
      </c>
      <c r="BE73" s="23">
        <v>-0.72</v>
      </c>
      <c r="BF73" s="23">
        <v>-0.73</v>
      </c>
      <c r="BG73" s="23">
        <f t="shared" si="22"/>
        <v>-0.72609635909506576</v>
      </c>
      <c r="BH73" s="34">
        <v>228435</v>
      </c>
      <c r="BI73" s="77">
        <v>228435</v>
      </c>
      <c r="BJ73" s="34">
        <v>102725</v>
      </c>
      <c r="BK73" s="34">
        <v>95071.64</v>
      </c>
      <c r="BL73">
        <f t="shared" si="40"/>
        <v>125710</v>
      </c>
      <c r="BM73" s="34">
        <f t="shared" si="40"/>
        <v>133363.35999999999</v>
      </c>
      <c r="BN73" s="23">
        <v>0.69499999999999995</v>
      </c>
      <c r="BO73" s="23">
        <f t="shared" si="23"/>
        <v>0.80968766492602473</v>
      </c>
    </row>
    <row r="74" spans="1:67" x14ac:dyDescent="0.25">
      <c r="A74" s="7" t="s">
        <v>141</v>
      </c>
      <c r="B74" s="7" t="s">
        <v>142</v>
      </c>
      <c r="C74" s="10">
        <f t="shared" si="31"/>
        <v>17</v>
      </c>
      <c r="D74" s="8">
        <v>0</v>
      </c>
      <c r="E74">
        <v>0</v>
      </c>
      <c r="F74">
        <v>0</v>
      </c>
      <c r="G74">
        <v>17</v>
      </c>
      <c r="H74">
        <v>0</v>
      </c>
      <c r="I74">
        <v>0</v>
      </c>
      <c r="J74">
        <v>0</v>
      </c>
      <c r="L74" s="38">
        <v>27</v>
      </c>
      <c r="M74" s="25">
        <f t="shared" si="32"/>
        <v>1.588235294117647</v>
      </c>
      <c r="N74" s="23">
        <f>M74/M77</f>
        <v>2.4619134096677962E-2</v>
      </c>
      <c r="O74" s="33">
        <v>1</v>
      </c>
      <c r="P74" s="23">
        <f t="shared" si="33"/>
        <v>5.8823529411764705E-2</v>
      </c>
      <c r="Q74" s="40">
        <f>P74/P77</f>
        <v>3.9365453914469569E-3</v>
      </c>
      <c r="R74" s="23">
        <f t="shared" si="34"/>
        <v>1.2058823529411764</v>
      </c>
      <c r="S74" s="42">
        <f>R74/R77</f>
        <v>2.3136694226838884E-2</v>
      </c>
      <c r="T74" s="42">
        <f t="shared" si="35"/>
        <v>1.9448486920370212E-2</v>
      </c>
      <c r="U74" s="34">
        <v>120147</v>
      </c>
      <c r="V74" s="72">
        <f>U74/C74</f>
        <v>7067.4705882352937</v>
      </c>
      <c r="W74" s="72"/>
      <c r="X74" s="40">
        <f>V74/V77</f>
        <v>9.0756245738001132E-2</v>
      </c>
      <c r="Y74" s="47">
        <f t="shared" si="36"/>
        <v>4.797159044742258E-2</v>
      </c>
      <c r="Z74" s="47">
        <v>0.30199999999999999</v>
      </c>
      <c r="AA74" s="137">
        <v>0.25700000000000001</v>
      </c>
      <c r="AB74" s="139">
        <f t="shared" si="37"/>
        <v>0.25153021319921726</v>
      </c>
      <c r="AC74" s="67">
        <f>AH74*AM$3</f>
        <v>0</v>
      </c>
      <c r="AD74" s="40">
        <f>C74*AK74</f>
        <v>0</v>
      </c>
      <c r="AF74" s="37">
        <f>AI74*AN$3</f>
        <v>17877.042176830346</v>
      </c>
      <c r="AG74" s="37">
        <f>AF74-AC74</f>
        <v>17877.042176830346</v>
      </c>
      <c r="AH74" s="23"/>
      <c r="AI74" s="23">
        <f>C74*AN74</f>
        <v>0.29751456128723097</v>
      </c>
      <c r="AJ74" s="23">
        <f>Y74/AK2</f>
        <v>7.6169562476059979E-2</v>
      </c>
      <c r="AK74" s="23"/>
      <c r="AL74" s="23"/>
      <c r="AM74" s="23"/>
      <c r="AN74" s="26">
        <f>AB74/AR$2</f>
        <v>1.7500856546307703E-2</v>
      </c>
      <c r="AS74">
        <v>66</v>
      </c>
      <c r="AT74">
        <v>66</v>
      </c>
      <c r="AV74">
        <v>38</v>
      </c>
      <c r="AW74" s="119">
        <v>38.755870000000002</v>
      </c>
      <c r="AX74">
        <f t="shared" si="38"/>
        <v>28</v>
      </c>
      <c r="AY74" s="119">
        <f t="shared" si="38"/>
        <v>27.244129999999998</v>
      </c>
      <c r="AZ74" s="23">
        <v>0.17899999999999999</v>
      </c>
      <c r="BA74" s="23">
        <f t="shared" si="21"/>
        <v>0.17841266254923036</v>
      </c>
      <c r="BB74" s="119">
        <v>4</v>
      </c>
      <c r="BC74" s="119">
        <v>5</v>
      </c>
      <c r="BD74" s="119">
        <f t="shared" si="39"/>
        <v>-1</v>
      </c>
      <c r="BE74" s="23">
        <v>-0.20200000000000001</v>
      </c>
      <c r="BF74" s="23">
        <v>8.3000000000000004E-2</v>
      </c>
      <c r="BG74" s="23">
        <f t="shared" si="22"/>
        <v>8.3309496911922756E-2</v>
      </c>
      <c r="BH74" s="34">
        <v>133444</v>
      </c>
      <c r="BI74" s="77">
        <v>118647.44</v>
      </c>
      <c r="BJ74" s="34">
        <v>40418</v>
      </c>
      <c r="BK74" s="34">
        <v>36425.629999999997</v>
      </c>
      <c r="BL74">
        <f t="shared" si="40"/>
        <v>93026</v>
      </c>
      <c r="BM74" s="34">
        <f t="shared" si="40"/>
        <v>82221.81</v>
      </c>
      <c r="BN74" s="23">
        <v>0.51700000000000002</v>
      </c>
      <c r="BO74" s="23">
        <f t="shared" si="23"/>
        <v>0.50386128763015903</v>
      </c>
    </row>
    <row r="75" spans="1:67" x14ac:dyDescent="0.25">
      <c r="C75" s="1">
        <f t="shared" ref="C75:L75" si="41">SUM(C3:C74)</f>
        <v>2743</v>
      </c>
      <c r="D75" s="1">
        <f t="shared" si="41"/>
        <v>694</v>
      </c>
      <c r="E75" s="1">
        <f t="shared" si="41"/>
        <v>526</v>
      </c>
      <c r="F75" s="1">
        <f t="shared" si="41"/>
        <v>286</v>
      </c>
      <c r="G75" s="1">
        <f t="shared" si="41"/>
        <v>1034</v>
      </c>
      <c r="H75" s="1">
        <f t="shared" si="41"/>
        <v>143</v>
      </c>
      <c r="I75" s="1">
        <f t="shared" si="41"/>
        <v>0</v>
      </c>
      <c r="J75" s="1">
        <f t="shared" si="41"/>
        <v>60</v>
      </c>
      <c r="K75" s="62"/>
      <c r="L75" s="17">
        <f t="shared" si="41"/>
        <v>2373</v>
      </c>
      <c r="M75" s="31">
        <f t="shared" si="32"/>
        <v>0.8651111921254101</v>
      </c>
      <c r="N75" s="31">
        <f>SUM(N3:N74)</f>
        <v>0.99999999999999967</v>
      </c>
      <c r="O75" s="17">
        <f>SUM(O3:O74)</f>
        <v>652</v>
      </c>
      <c r="P75" s="31">
        <f t="shared" si="33"/>
        <v>0.23769595333576377</v>
      </c>
      <c r="Q75" s="31">
        <f>SUM(Q3:Q74)</f>
        <v>1</v>
      </c>
      <c r="R75" s="31">
        <f t="shared" si="34"/>
        <v>0.70825738242799852</v>
      </c>
      <c r="S75" s="41">
        <f>SUM(S3:S74)</f>
        <v>0.99999999999999967</v>
      </c>
      <c r="T75" s="41">
        <f>SUM(T3:T74)</f>
        <v>0.99999999999999978</v>
      </c>
      <c r="U75" s="35">
        <f>SUM(U3:U74)</f>
        <v>3261352</v>
      </c>
      <c r="V75" s="35">
        <f>U75/C75</f>
        <v>1188.9726576740795</v>
      </c>
      <c r="W75" s="35"/>
      <c r="X75" s="41">
        <f>SUM(X3:X74)</f>
        <v>1.0000000000000004</v>
      </c>
      <c r="Y75" s="49">
        <f>SUM(Y3:Y74)</f>
        <v>0.99999999999999989</v>
      </c>
      <c r="Z75" s="49"/>
      <c r="AC75" s="142">
        <f>SUM(AC3:AC74)</f>
        <v>2946268.4786009672</v>
      </c>
      <c r="AD75" s="41">
        <f>SUM(AD3:AD74)</f>
        <v>0</v>
      </c>
      <c r="AF75" s="61">
        <f>SUM(AF3:AF74)</f>
        <v>2946268.4786009672</v>
      </c>
      <c r="AG75" s="61"/>
      <c r="AH75" s="54">
        <f>SUM(AH3:AH74)</f>
        <v>49.835291604358055</v>
      </c>
      <c r="AI75" s="54">
        <f>SUM(AI4:AI74)</f>
        <v>49.032595279180612</v>
      </c>
      <c r="AJ75" s="54">
        <f>SUM(AJ4:AJ74)</f>
        <v>5443.5224903929693</v>
      </c>
      <c r="AK75" s="23"/>
      <c r="AL75" s="23" t="e">
        <f>SUM(AL4:AL74)</f>
        <v>#REF!</v>
      </c>
      <c r="AM75" s="23">
        <f>SUM(AM4:AM74)</f>
        <v>1.0040589617603077</v>
      </c>
      <c r="AN75" s="26">
        <f>SUM(AN5:AN74)</f>
        <v>1</v>
      </c>
      <c r="AS75" s="1">
        <f>SUM(AS3:AS74)</f>
        <v>6723</v>
      </c>
      <c r="AT75" s="1">
        <f>SUM(AT3:AT74)</f>
        <v>6713</v>
      </c>
      <c r="AU75" s="1"/>
      <c r="BB75" s="161">
        <f>SUM(BB3:BB74)</f>
        <v>1148</v>
      </c>
      <c r="BH75" s="55">
        <f>SUM(BH3:BH74)</f>
        <v>5635669</v>
      </c>
      <c r="BI75" s="55">
        <f>SUM(BI3:BI74)</f>
        <v>5232366.08</v>
      </c>
    </row>
    <row r="76" spans="1:67" x14ac:dyDescent="0.25">
      <c r="M76" s="39" t="s">
        <v>161</v>
      </c>
      <c r="P76" s="39" t="s">
        <v>161</v>
      </c>
      <c r="R76" s="39" t="s">
        <v>161</v>
      </c>
      <c r="V76" s="39" t="s">
        <v>161</v>
      </c>
      <c r="W76" s="39"/>
      <c r="AT76" s="163">
        <f>(AT75/AS75)*100</f>
        <v>99.85125687936933</v>
      </c>
      <c r="AX76" s="1" t="s">
        <v>353</v>
      </c>
      <c r="AY76" s="119">
        <f>AVERAGE(AY3:AY13,AY15:AY16,AY18:AY25,AY28:AY67,AY69:AY74)</f>
        <v>7.2343880597014971</v>
      </c>
      <c r="BB76" s="161">
        <f>AS75+BB75</f>
        <v>7871</v>
      </c>
      <c r="BL76" s="1" t="s">
        <v>319</v>
      </c>
      <c r="BM76" s="34">
        <f>AVERAGE(BM3:BM13,BM15:BM16,BM18:BM25,BM28:BM67,BM69:BM74)</f>
        <v>-2035.9556716417915</v>
      </c>
    </row>
    <row r="77" spans="1:67" ht="18.75" x14ac:dyDescent="0.3">
      <c r="A77" s="14"/>
      <c r="M77" s="23">
        <f>SUM(M3:M74)</f>
        <v>64.51223214759446</v>
      </c>
      <c r="P77" s="23">
        <f>SUM(P3:P74)</f>
        <v>14.942931825344184</v>
      </c>
      <c r="R77" s="23">
        <f>SUM(R3:R74)</f>
        <v>52.11990706703191</v>
      </c>
      <c r="V77" s="34">
        <f>SUM(V3:V74)</f>
        <v>77873.104278001527</v>
      </c>
      <c r="W77" s="34"/>
      <c r="AX77" s="1" t="s">
        <v>316</v>
      </c>
      <c r="AY77">
        <f>STDEV(AY3:AY13,AY15:AY16,AY18:AY25,AY28:AY67,AY69:AY74)</f>
        <v>112.15427007473254</v>
      </c>
      <c r="BL77" s="1" t="s">
        <v>316</v>
      </c>
      <c r="BM77">
        <f>STDEV(BM3:BM13,BM15:BM16,BM18:BM25,BM28:BM67,BM69:BM74)</f>
        <v>167224.13041084458</v>
      </c>
    </row>
    <row r="78" spans="1:67" ht="18.75" x14ac:dyDescent="0.3">
      <c r="A78" s="14"/>
    </row>
    <row r="79" spans="1:67" ht="18.75" x14ac:dyDescent="0.3">
      <c r="A79" s="14"/>
    </row>
    <row r="80" spans="1:67" ht="18.75" x14ac:dyDescent="0.3">
      <c r="A80" s="14"/>
    </row>
    <row r="81" spans="1:1" ht="18.75" x14ac:dyDescent="0.3">
      <c r="A81" s="14"/>
    </row>
    <row r="82" spans="1:1" ht="18.75" x14ac:dyDescent="0.3">
      <c r="A82" s="14"/>
    </row>
    <row r="83" spans="1:1" ht="18.75" x14ac:dyDescent="0.3">
      <c r="A83" s="14"/>
    </row>
    <row r="84" spans="1:1" ht="18.75" x14ac:dyDescent="0.3">
      <c r="A84" s="14"/>
    </row>
    <row r="85" spans="1:1" ht="18.75" x14ac:dyDescent="0.3">
      <c r="A85" s="14"/>
    </row>
    <row r="86" spans="1:1" ht="18.75" x14ac:dyDescent="0.3">
      <c r="A86" s="14"/>
    </row>
    <row r="87" spans="1:1" ht="18.75" x14ac:dyDescent="0.3">
      <c r="A87" s="14"/>
    </row>
    <row r="88" spans="1:1" ht="18.75" x14ac:dyDescent="0.3">
      <c r="A88" s="14"/>
    </row>
    <row r="89" spans="1:1" ht="18.75" x14ac:dyDescent="0.3">
      <c r="A89" s="14"/>
    </row>
    <row r="90" spans="1:1" ht="18.75" x14ac:dyDescent="0.3">
      <c r="A90" s="14"/>
    </row>
    <row r="91" spans="1:1" ht="18.75" x14ac:dyDescent="0.3">
      <c r="A91" s="14"/>
    </row>
    <row r="92" spans="1:1" ht="18.75" x14ac:dyDescent="0.3">
      <c r="A92" s="14"/>
    </row>
    <row r="93" spans="1:1" ht="18.75" x14ac:dyDescent="0.3">
      <c r="A93" s="14"/>
    </row>
    <row r="94" spans="1:1" ht="18.75" x14ac:dyDescent="0.3">
      <c r="A94" s="14"/>
    </row>
    <row r="95" spans="1:1" ht="18.75" x14ac:dyDescent="0.3">
      <c r="A95" s="14"/>
    </row>
    <row r="96" spans="1:1" ht="18.75" x14ac:dyDescent="0.3">
      <c r="A96" s="14"/>
    </row>
    <row r="97" spans="1:1" ht="18.75" x14ac:dyDescent="0.3">
      <c r="A97" s="14"/>
    </row>
    <row r="98" spans="1:1" ht="18.75" x14ac:dyDescent="0.3">
      <c r="A98" s="14"/>
    </row>
    <row r="99" spans="1:1" ht="18.75" x14ac:dyDescent="0.3">
      <c r="A99" s="14"/>
    </row>
    <row r="100" spans="1:1" ht="18.75" x14ac:dyDescent="0.3">
      <c r="A100" s="14"/>
    </row>
    <row r="101" spans="1:1" ht="18.75" x14ac:dyDescent="0.3">
      <c r="A101" s="14"/>
    </row>
  </sheetData>
  <dataValidations disablePrompts="1" count="1">
    <dataValidation type="list" showInputMessage="1" showErrorMessage="1" sqref="D1:J1">
      <formula1>$A$77:$A$101</formula1>
    </dataValidation>
  </dataValidations>
  <pageMargins left="0.75" right="0.75" top="1" bottom="1" header="0.5" footer="0.5"/>
  <pageSetup paperSize="9" orientation="portrait" r:id="rId1"/>
  <ignoredErrors>
    <ignoredError sqref="R3:R30 R31:R74" formula="1"/>
    <ignoredError sqref="C3:C78" formulaRange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1"/>
  <sheetViews>
    <sheetView workbookViewId="0">
      <pane ySplit="2" topLeftCell="A24" activePane="bottomLeft" state="frozen"/>
      <selection pane="bottomLeft" activeCell="L45" sqref="L45"/>
    </sheetView>
  </sheetViews>
  <sheetFormatPr defaultRowHeight="15" x14ac:dyDescent="0.25"/>
  <cols>
    <col min="1" max="1" width="39.85546875" bestFit="1" customWidth="1"/>
    <col min="2" max="2" width="57.140625" bestFit="1" customWidth="1"/>
    <col min="3" max="6" width="9.140625" customWidth="1"/>
    <col min="7" max="8" width="16.5703125" customWidth="1"/>
    <col min="9" max="9" width="11.42578125" customWidth="1"/>
    <col min="10" max="10" width="0" hidden="1" customWidth="1"/>
    <col min="11" max="11" width="12.85546875" bestFit="1" customWidth="1"/>
    <col min="12" max="12" width="12.85546875" customWidth="1"/>
    <col min="14" max="14" width="0" hidden="1" customWidth="1"/>
    <col min="15" max="15" width="12.28515625" bestFit="1" customWidth="1"/>
    <col min="16" max="16" width="13.85546875" bestFit="1" customWidth="1"/>
    <col min="17" max="17" width="16.5703125" hidden="1" customWidth="1"/>
    <col min="18" max="18" width="14.28515625" hidden="1" customWidth="1"/>
    <col min="19" max="20" width="0" hidden="1" customWidth="1"/>
    <col min="21" max="21" width="10" hidden="1" customWidth="1"/>
    <col min="22" max="23" width="0" hidden="1" customWidth="1"/>
    <col min="24" max="24" width="19.140625" bestFit="1" customWidth="1"/>
    <col min="25" max="25" width="12.140625" bestFit="1" customWidth="1"/>
    <col min="26" max="26" width="19.5703125" bestFit="1" customWidth="1"/>
    <col min="28" max="28" width="13.28515625" bestFit="1" customWidth="1"/>
    <col min="29" max="29" width="10" bestFit="1" customWidth="1"/>
    <col min="30" max="30" width="17.42578125" bestFit="1" customWidth="1"/>
    <col min="31" max="31" width="7.140625" bestFit="1" customWidth="1"/>
    <col min="33" max="33" width="16.28515625" bestFit="1" customWidth="1"/>
    <col min="34" max="34" width="11.85546875" bestFit="1" customWidth="1"/>
    <col min="35" max="35" width="17" bestFit="1" customWidth="1"/>
    <col min="36" max="36" width="12.28515625" style="23" bestFit="1" customWidth="1"/>
    <col min="37" max="37" width="19.7109375" style="23" bestFit="1" customWidth="1"/>
    <col min="41" max="41" width="10.5703125" style="23" bestFit="1" customWidth="1"/>
    <col min="42" max="42" width="6.28515625" bestFit="1" customWidth="1"/>
    <col min="43" max="43" width="13.5703125" bestFit="1" customWidth="1"/>
    <col min="45" max="45" width="16.85546875" bestFit="1" customWidth="1"/>
    <col min="47" max="47" width="15.85546875" bestFit="1" customWidth="1"/>
    <col min="48" max="48" width="11.85546875" bestFit="1" customWidth="1"/>
    <col min="49" max="49" width="16.5703125" bestFit="1" customWidth="1"/>
    <col min="51" max="51" width="14.7109375" bestFit="1" customWidth="1"/>
  </cols>
  <sheetData>
    <row r="1" spans="1:51" ht="60" x14ac:dyDescent="0.25">
      <c r="C1" s="2" t="s">
        <v>144</v>
      </c>
      <c r="D1" s="3" t="s">
        <v>6</v>
      </c>
      <c r="E1" s="4" t="s">
        <v>7</v>
      </c>
      <c r="F1" s="3" t="s">
        <v>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W1" s="66">
        <v>7.2700000000000001E-2</v>
      </c>
      <c r="X1" s="66"/>
      <c r="Y1" s="1" t="s">
        <v>163</v>
      </c>
      <c r="Z1" s="1" t="s">
        <v>324</v>
      </c>
      <c r="AA1" s="1"/>
      <c r="AB1" s="1"/>
      <c r="AC1" s="1"/>
      <c r="AD1" s="1"/>
      <c r="AE1" s="1"/>
    </row>
    <row r="2" spans="1:51" x14ac:dyDescent="0.25">
      <c r="A2" s="5" t="s">
        <v>0</v>
      </c>
      <c r="B2" s="5" t="s">
        <v>1</v>
      </c>
      <c r="C2" s="6"/>
      <c r="G2" s="62" t="s">
        <v>212</v>
      </c>
      <c r="H2" s="62" t="s">
        <v>358</v>
      </c>
      <c r="I2" s="148" t="s">
        <v>158</v>
      </c>
      <c r="J2" s="62" t="s">
        <v>167</v>
      </c>
      <c r="K2" s="62" t="s">
        <v>262</v>
      </c>
      <c r="L2" s="245" t="s">
        <v>344</v>
      </c>
      <c r="M2" s="148" t="s">
        <v>162</v>
      </c>
      <c r="N2" s="62"/>
      <c r="O2" s="62" t="s">
        <v>362</v>
      </c>
      <c r="P2" s="62" t="s">
        <v>183</v>
      </c>
      <c r="Q2" s="62" t="s">
        <v>165</v>
      </c>
      <c r="R2" s="62" t="s">
        <v>164</v>
      </c>
      <c r="S2" s="62" t="s">
        <v>155</v>
      </c>
      <c r="T2" s="62" t="s">
        <v>157</v>
      </c>
      <c r="U2" s="1" t="s">
        <v>158</v>
      </c>
      <c r="V2" s="1" t="s">
        <v>162</v>
      </c>
      <c r="W2" s="1"/>
      <c r="X2" s="1" t="s">
        <v>361</v>
      </c>
      <c r="Y2" s="140">
        <v>459664.01844726497</v>
      </c>
      <c r="Z2" s="140">
        <f>Y2/O50</f>
        <v>4100.2243535772513</v>
      </c>
      <c r="AA2" s="247" t="s">
        <v>359</v>
      </c>
      <c r="AB2" s="247" t="s">
        <v>360</v>
      </c>
      <c r="AC2" s="1" t="s">
        <v>239</v>
      </c>
      <c r="AD2" s="1" t="s">
        <v>263</v>
      </c>
      <c r="AE2" s="1" t="s">
        <v>256</v>
      </c>
      <c r="AF2" s="1" t="s">
        <v>240</v>
      </c>
      <c r="AG2" s="1" t="s">
        <v>257</v>
      </c>
      <c r="AH2" s="1" t="s">
        <v>241</v>
      </c>
      <c r="AI2" s="1" t="s">
        <v>258</v>
      </c>
      <c r="AJ2" s="54" t="s">
        <v>242</v>
      </c>
      <c r="AK2" s="54" t="s">
        <v>259</v>
      </c>
      <c r="AL2" s="1" t="s">
        <v>247</v>
      </c>
      <c r="AM2" s="1" t="s">
        <v>248</v>
      </c>
      <c r="AN2" s="1" t="s">
        <v>250</v>
      </c>
      <c r="AO2" s="54" t="s">
        <v>249</v>
      </c>
      <c r="AP2" s="1" t="s">
        <v>251</v>
      </c>
      <c r="AQ2" s="1" t="s">
        <v>335</v>
      </c>
      <c r="AR2" s="1" t="s">
        <v>243</v>
      </c>
      <c r="AS2" s="1" t="s">
        <v>328</v>
      </c>
      <c r="AT2" s="1" t="s">
        <v>244</v>
      </c>
      <c r="AU2" s="1" t="s">
        <v>336</v>
      </c>
      <c r="AV2" s="1" t="s">
        <v>245</v>
      </c>
      <c r="AW2" s="1" t="s">
        <v>337</v>
      </c>
      <c r="AX2" s="1" t="s">
        <v>246</v>
      </c>
      <c r="AY2" s="1" t="s">
        <v>338</v>
      </c>
    </row>
    <row r="3" spans="1:51" x14ac:dyDescent="0.25">
      <c r="A3" s="9" t="s">
        <v>3</v>
      </c>
      <c r="B3" s="9" t="s">
        <v>30</v>
      </c>
      <c r="C3" s="1">
        <f t="shared" ref="C3:C48" si="0">SUM(D3:F3)</f>
        <v>11</v>
      </c>
      <c r="D3" s="8">
        <v>11</v>
      </c>
      <c r="E3" s="8">
        <v>0</v>
      </c>
      <c r="F3">
        <v>0</v>
      </c>
      <c r="G3" s="25">
        <v>0.52900000000000003</v>
      </c>
      <c r="H3" s="25">
        <f>(0.6*AQ3)+(0.4*AY3)</f>
        <v>0.51255559857065014</v>
      </c>
      <c r="I3" s="68">
        <f>M3*Z$6</f>
        <v>3603.4522141722509</v>
      </c>
      <c r="J3" s="40"/>
      <c r="K3" s="37">
        <f>O3*Z$2</f>
        <v>3930.5703494671129</v>
      </c>
      <c r="L3" s="37">
        <f>K3-I3</f>
        <v>327.11813529486199</v>
      </c>
      <c r="M3" s="48">
        <f>C3*P3</f>
        <v>1.003102913290812</v>
      </c>
      <c r="N3" s="40"/>
      <c r="O3" s="40">
        <f>C3*X3</f>
        <v>0.95862323875957589</v>
      </c>
      <c r="P3" s="26">
        <f>G3/AA$3</f>
        <v>9.1191173935528363E-2</v>
      </c>
      <c r="Q3" s="40"/>
      <c r="R3" s="23"/>
      <c r="S3" s="40"/>
      <c r="T3" s="40"/>
      <c r="X3" s="23">
        <f>H3/AB$3</f>
        <v>8.7147567159961442E-2</v>
      </c>
      <c r="Z3" s="1"/>
      <c r="AA3" s="78">
        <v>5.8010000000000002</v>
      </c>
      <c r="AB3" s="25">
        <f>SUM(H3:H4,H28,H34:H37,H45)</f>
        <v>5.8814676677071445</v>
      </c>
      <c r="AC3">
        <v>6</v>
      </c>
      <c r="AD3">
        <v>6</v>
      </c>
      <c r="AE3">
        <f>AC3-AD3</f>
        <v>0</v>
      </c>
      <c r="AF3">
        <v>7</v>
      </c>
      <c r="AG3" s="119">
        <v>7.7280319999999998</v>
      </c>
      <c r="AH3">
        <f>AC3-AF3</f>
        <v>-1</v>
      </c>
      <c r="AI3" s="119">
        <f>AD3-AG3</f>
        <v>-1.7280319999999998</v>
      </c>
      <c r="AJ3" s="23">
        <v>-0.20499999999999999</v>
      </c>
      <c r="AK3" s="23">
        <f>(AI3-AI$50)/AI$51</f>
        <v>-0.21981511670378459</v>
      </c>
      <c r="AL3">
        <v>8</v>
      </c>
      <c r="AM3">
        <v>3</v>
      </c>
      <c r="AN3">
        <f>AL3-AM3</f>
        <v>5</v>
      </c>
      <c r="AO3" s="23">
        <v>2.54</v>
      </c>
      <c r="AP3" s="23">
        <v>0.89300000000000002</v>
      </c>
      <c r="AQ3" s="23">
        <f>(0.6*AK3)+(0.4*AO3)</f>
        <v>0.88411092997772922</v>
      </c>
      <c r="AR3" s="34">
        <v>0</v>
      </c>
      <c r="AS3" s="77">
        <v>0</v>
      </c>
      <c r="AT3">
        <v>1750</v>
      </c>
      <c r="AU3" s="34">
        <v>1918.2783999999999</v>
      </c>
      <c r="AV3">
        <f>AR3-AT3</f>
        <v>-1750</v>
      </c>
      <c r="AW3" s="34">
        <f>AS3-AU3</f>
        <v>-1918.2783999999999</v>
      </c>
      <c r="AX3" s="23">
        <v>-1.6E-2</v>
      </c>
      <c r="AY3" s="23">
        <f>(AW3-AW$50)/AW$51</f>
        <v>-4.4777398539968649E-2</v>
      </c>
    </row>
    <row r="4" spans="1:51" x14ac:dyDescent="0.25">
      <c r="A4" s="9" t="s">
        <v>3</v>
      </c>
      <c r="B4" s="9" t="s">
        <v>31</v>
      </c>
      <c r="C4" s="1">
        <f t="shared" si="0"/>
        <v>191</v>
      </c>
      <c r="D4" s="8">
        <v>139</v>
      </c>
      <c r="E4" s="8">
        <v>52</v>
      </c>
      <c r="F4">
        <v>0</v>
      </c>
      <c r="G4" s="25">
        <v>3.0009999999999999</v>
      </c>
      <c r="H4" s="25">
        <f>(0.6*AQ4)+(0.4*AY4)</f>
        <v>3.0284215294395027</v>
      </c>
      <c r="I4" s="68">
        <f>M4*Z$6</f>
        <v>354952.11859316146</v>
      </c>
      <c r="J4" s="48" t="e">
        <f>C4*N4</f>
        <v>#REF!</v>
      </c>
      <c r="K4" s="37">
        <f>O4*Z$2</f>
        <v>403247.42159715749</v>
      </c>
      <c r="L4" s="37">
        <f>K4-I4</f>
        <v>48295.303003996029</v>
      </c>
      <c r="M4" s="48">
        <f>C4*P4</f>
        <v>98.808998448543349</v>
      </c>
      <c r="N4" s="48" t="e">
        <f>#REF!/AA2</f>
        <v>#REF!</v>
      </c>
      <c r="O4" s="40">
        <f>C4*X4</f>
        <v>98.347648036708833</v>
      </c>
      <c r="P4" s="26">
        <f>G4/AA$3</f>
        <v>0.51732459920703322</v>
      </c>
      <c r="Q4" s="40"/>
      <c r="R4" s="23"/>
      <c r="S4" s="40"/>
      <c r="T4" s="40"/>
      <c r="X4" s="23">
        <f>H4/AB$3</f>
        <v>0.51490915202465359</v>
      </c>
      <c r="AC4">
        <v>244</v>
      </c>
      <c r="AD4">
        <v>224</v>
      </c>
      <c r="AE4">
        <f>AC4-AD4</f>
        <v>20</v>
      </c>
      <c r="AF4">
        <v>130</v>
      </c>
      <c r="AG4" s="119">
        <v>134.18673699999999</v>
      </c>
      <c r="AH4">
        <f t="shared" ref="AH4:AH48" si="1">AC4-AF4</f>
        <v>114</v>
      </c>
      <c r="AI4" s="119">
        <f>AD4-AG4</f>
        <v>89.813263000000006</v>
      </c>
      <c r="AJ4" s="23">
        <v>4.2750000000000004</v>
      </c>
      <c r="AK4" s="23">
        <f>(AI4-AI$50)/AI$51</f>
        <v>3.8612795218981071</v>
      </c>
      <c r="AL4">
        <v>53</v>
      </c>
      <c r="AM4">
        <v>60</v>
      </c>
      <c r="AN4">
        <f t="shared" ref="AN4:AN48" si="2">AL4-AM4</f>
        <v>-7</v>
      </c>
      <c r="AO4" s="23">
        <v>1.2949999999999999</v>
      </c>
      <c r="AP4" s="23">
        <v>3.0830000000000002</v>
      </c>
      <c r="AQ4" s="23">
        <f>(0.6*AK4)+(0.4*AO4)</f>
        <v>2.8347677131388638</v>
      </c>
      <c r="AR4" s="34">
        <v>404291</v>
      </c>
      <c r="AS4" s="77">
        <v>404291.29000000004</v>
      </c>
      <c r="AT4">
        <v>239031</v>
      </c>
      <c r="AU4" s="34">
        <v>213087.2291</v>
      </c>
      <c r="AV4">
        <f>AR4-AT4</f>
        <v>165260</v>
      </c>
      <c r="AW4" s="34">
        <f t="shared" ref="AW4:AW5" si="3">AS4-AU4</f>
        <v>191204.06090000004</v>
      </c>
      <c r="AX4" s="23">
        <v>2.8780000000000001</v>
      </c>
      <c r="AY4" s="23">
        <f>(AW4-AW$50)/AW$51</f>
        <v>3.3189022538904607</v>
      </c>
    </row>
    <row r="5" spans="1:51" x14ac:dyDescent="0.25">
      <c r="A5" s="7" t="s">
        <v>3</v>
      </c>
      <c r="B5" s="7" t="s">
        <v>32</v>
      </c>
      <c r="C5" s="1">
        <f t="shared" si="0"/>
        <v>6</v>
      </c>
      <c r="D5" s="8">
        <v>6</v>
      </c>
      <c r="E5" s="8">
        <v>0</v>
      </c>
      <c r="F5">
        <v>0</v>
      </c>
      <c r="G5" s="26">
        <v>-0.11</v>
      </c>
      <c r="H5" s="26">
        <f>(0.6*AQ5)+(0.4*AY5)</f>
        <v>-0.1176538513305514</v>
      </c>
      <c r="I5" s="69"/>
      <c r="J5" s="48"/>
      <c r="K5" s="69"/>
      <c r="L5" s="69"/>
      <c r="M5" s="48"/>
      <c r="N5" s="48"/>
      <c r="O5" s="48"/>
      <c r="P5" s="26"/>
      <c r="Q5" s="40"/>
      <c r="R5" s="23"/>
      <c r="S5" s="40"/>
      <c r="T5" s="40"/>
      <c r="X5" s="23"/>
      <c r="Z5" s="48"/>
      <c r="AC5">
        <v>3</v>
      </c>
      <c r="AD5">
        <v>3</v>
      </c>
      <c r="AE5">
        <f>AC5-AD5</f>
        <v>0</v>
      </c>
      <c r="AF5">
        <v>4</v>
      </c>
      <c r="AG5" s="119">
        <v>4.2152900000000004</v>
      </c>
      <c r="AH5">
        <f t="shared" si="1"/>
        <v>-1</v>
      </c>
      <c r="AI5" s="119">
        <f>AD5-AG5</f>
        <v>-1.2152900000000004</v>
      </c>
      <c r="AJ5" s="23">
        <v>-0.20499999999999999</v>
      </c>
      <c r="AK5" s="23">
        <f>(AI5-AI$50)/AI$51</f>
        <v>-0.19695604935952199</v>
      </c>
      <c r="AL5">
        <v>1</v>
      </c>
      <c r="AM5">
        <v>2</v>
      </c>
      <c r="AN5">
        <f t="shared" si="2"/>
        <v>-1</v>
      </c>
      <c r="AO5" s="23">
        <v>-0.157</v>
      </c>
      <c r="AP5" s="23">
        <v>-0.186</v>
      </c>
      <c r="AQ5" s="23">
        <f>(0.6*AK5)+(0.4*AO5)</f>
        <v>-0.1809736296157132</v>
      </c>
      <c r="AR5" s="34">
        <v>0</v>
      </c>
      <c r="AS5" s="77">
        <v>0</v>
      </c>
      <c r="AT5">
        <v>616</v>
      </c>
      <c r="AU5" s="34">
        <v>649.24419999999998</v>
      </c>
      <c r="AV5">
        <f>AR5-AT5</f>
        <v>-616</v>
      </c>
      <c r="AW5" s="34">
        <f t="shared" si="3"/>
        <v>-649.24419999999998</v>
      </c>
      <c r="AX5" s="23">
        <v>3.0000000000000001E-3</v>
      </c>
      <c r="AY5" s="23">
        <f>(AW5-AW$50)/AW$51</f>
        <v>-2.2674183902808714E-2</v>
      </c>
    </row>
    <row r="6" spans="1:51" x14ac:dyDescent="0.25">
      <c r="A6" s="9" t="s">
        <v>3</v>
      </c>
      <c r="B6" s="9" t="s">
        <v>33</v>
      </c>
      <c r="C6" s="53">
        <f t="shared" si="0"/>
        <v>4</v>
      </c>
      <c r="D6" s="8">
        <v>4</v>
      </c>
      <c r="E6" s="8">
        <v>0</v>
      </c>
      <c r="F6">
        <v>0</v>
      </c>
      <c r="G6" s="23"/>
      <c r="H6" s="23"/>
      <c r="I6" s="69"/>
      <c r="J6" s="48"/>
      <c r="K6" s="69"/>
      <c r="L6" s="69"/>
      <c r="M6" s="48"/>
      <c r="N6" s="48"/>
      <c r="O6" s="48"/>
      <c r="P6" s="26"/>
      <c r="Q6" s="40"/>
      <c r="R6" s="23"/>
      <c r="S6" s="40"/>
      <c r="T6" s="40"/>
      <c r="X6" s="23"/>
      <c r="Y6" s="39" t="s">
        <v>184</v>
      </c>
      <c r="Z6" s="80">
        <f>Y2/M50</f>
        <v>3592.3056013770797</v>
      </c>
      <c r="AR6" s="34"/>
      <c r="AS6" s="77">
        <v>0</v>
      </c>
      <c r="AY6" s="23"/>
    </row>
    <row r="7" spans="1:51" x14ac:dyDescent="0.25">
      <c r="A7" s="9" t="s">
        <v>3</v>
      </c>
      <c r="B7" s="9" t="s">
        <v>34</v>
      </c>
      <c r="C7" s="1">
        <f t="shared" si="0"/>
        <v>7</v>
      </c>
      <c r="D7" s="8">
        <v>7</v>
      </c>
      <c r="E7" s="8">
        <v>0</v>
      </c>
      <c r="F7">
        <v>0</v>
      </c>
      <c r="G7" s="26">
        <v>-0.126</v>
      </c>
      <c r="H7" s="26">
        <f>(0.6*AQ7)+(0.4*AY7)</f>
        <v>-0.13037470865477793</v>
      </c>
      <c r="I7" s="69"/>
      <c r="J7" s="48"/>
      <c r="K7" s="69"/>
      <c r="L7" s="69"/>
      <c r="M7" s="48"/>
      <c r="N7" s="48"/>
      <c r="O7" s="48"/>
      <c r="P7" s="26"/>
      <c r="Q7" s="40"/>
      <c r="R7" s="23"/>
      <c r="S7" s="40"/>
      <c r="T7" s="40"/>
      <c r="X7" s="23"/>
      <c r="Z7" s="39"/>
      <c r="AC7">
        <v>3</v>
      </c>
      <c r="AD7">
        <v>3</v>
      </c>
      <c r="AE7">
        <f>AC7-AD7</f>
        <v>0</v>
      </c>
      <c r="AF7">
        <v>5</v>
      </c>
      <c r="AG7" s="119">
        <v>4.9178389999999998</v>
      </c>
      <c r="AH7">
        <f t="shared" si="1"/>
        <v>-2</v>
      </c>
      <c r="AI7" s="119">
        <f>AD7-AG7</f>
        <v>-1.9178389999999998</v>
      </c>
      <c r="AJ7" s="23">
        <v>-0.24399999999999999</v>
      </c>
      <c r="AK7" s="23">
        <f>(AI7-AI$50)/AI$51</f>
        <v>-0.22827709367351295</v>
      </c>
      <c r="AL7">
        <v>0</v>
      </c>
      <c r="AM7">
        <v>2</v>
      </c>
      <c r="AN7">
        <f t="shared" si="2"/>
        <v>-2</v>
      </c>
      <c r="AO7" s="23">
        <v>-0.157</v>
      </c>
      <c r="AP7" s="23">
        <v>-0.20899999999999999</v>
      </c>
      <c r="AQ7" s="23">
        <f>(0.6*AK7)+(0.4*AO7)</f>
        <v>-0.19976625620410776</v>
      </c>
      <c r="AR7" s="34">
        <v>0</v>
      </c>
      <c r="AS7" s="77">
        <v>0</v>
      </c>
      <c r="AT7">
        <v>803</v>
      </c>
      <c r="AU7" s="34">
        <v>856.69269999999995</v>
      </c>
      <c r="AV7">
        <f>AR7-AT7</f>
        <v>-803</v>
      </c>
      <c r="AW7" s="34">
        <f>AS7-AU7</f>
        <v>-856.69269999999995</v>
      </c>
      <c r="AX7" s="23">
        <v>0</v>
      </c>
      <c r="AY7" s="23">
        <f>(AW7-AW$50)/AW$51</f>
        <v>-2.6287387330783209E-2</v>
      </c>
    </row>
    <row r="8" spans="1:51" x14ac:dyDescent="0.25">
      <c r="A8" s="9" t="s">
        <v>3</v>
      </c>
      <c r="B8" s="9" t="s">
        <v>36</v>
      </c>
      <c r="C8" s="1">
        <f t="shared" si="0"/>
        <v>13</v>
      </c>
      <c r="D8" s="8">
        <v>13</v>
      </c>
      <c r="E8" s="8">
        <v>0</v>
      </c>
      <c r="F8">
        <v>0</v>
      </c>
      <c r="G8" s="26">
        <v>-0.28399999999999997</v>
      </c>
      <c r="H8" s="26">
        <f>(0.6*AQ8)+(0.4*AY8)</f>
        <v>-0.29202878149767308</v>
      </c>
      <c r="I8" s="69"/>
      <c r="J8" s="48"/>
      <c r="K8" s="69"/>
      <c r="L8" s="69"/>
      <c r="M8" s="48"/>
      <c r="N8" s="48"/>
      <c r="O8" s="48"/>
      <c r="P8" s="26"/>
      <c r="Q8" s="40"/>
      <c r="R8" s="23"/>
      <c r="S8" s="40"/>
      <c r="T8" s="40"/>
      <c r="X8" s="23"/>
      <c r="AC8">
        <v>0</v>
      </c>
      <c r="AD8">
        <v>1</v>
      </c>
      <c r="AE8">
        <f>AC8-AD8</f>
        <v>-1</v>
      </c>
      <c r="AF8">
        <v>9</v>
      </c>
      <c r="AG8" s="119">
        <v>9.1331290000000003</v>
      </c>
      <c r="AH8">
        <f t="shared" si="1"/>
        <v>-9</v>
      </c>
      <c r="AI8" s="119">
        <f>AD8-AG8</f>
        <v>-8.1331290000000003</v>
      </c>
      <c r="AJ8" s="23">
        <v>-0.51700000000000002</v>
      </c>
      <c r="AK8" s="23">
        <f>(AI8-AI$50)/AI$51</f>
        <v>-0.50536719488254611</v>
      </c>
      <c r="AL8">
        <v>0</v>
      </c>
      <c r="AM8">
        <v>4</v>
      </c>
      <c r="AN8">
        <f t="shared" si="2"/>
        <v>-4</v>
      </c>
      <c r="AO8" s="23">
        <v>-0.36499999999999999</v>
      </c>
      <c r="AP8" s="23">
        <v>-0.45600000000000002</v>
      </c>
      <c r="AQ8" s="23">
        <f>(0.6*AK8)+(0.4*AO8)</f>
        <v>-0.44922031692952769</v>
      </c>
      <c r="AR8" s="34">
        <v>0</v>
      </c>
      <c r="AS8" s="77">
        <v>0</v>
      </c>
      <c r="AT8">
        <v>2333</v>
      </c>
      <c r="AU8" s="34">
        <v>2576.4771999999998</v>
      </c>
      <c r="AV8">
        <f>AR8-AT8</f>
        <v>-2333</v>
      </c>
      <c r="AW8" s="34">
        <f>AS8-AU8</f>
        <v>-2576.4771999999998</v>
      </c>
      <c r="AX8" s="23">
        <v>-2.7E-2</v>
      </c>
      <c r="AY8" s="23">
        <f>(AW8-AW$50)/AW$51</f>
        <v>-5.6241478349891114E-2</v>
      </c>
    </row>
    <row r="9" spans="1:51" x14ac:dyDescent="0.25">
      <c r="A9" s="7" t="s">
        <v>3</v>
      </c>
      <c r="B9" s="7" t="s">
        <v>38</v>
      </c>
      <c r="C9" s="53">
        <f t="shared" si="0"/>
        <v>4</v>
      </c>
      <c r="D9" s="8">
        <v>4</v>
      </c>
      <c r="E9" s="8">
        <v>0</v>
      </c>
      <c r="F9">
        <v>0</v>
      </c>
      <c r="G9" s="23"/>
      <c r="H9" s="23"/>
      <c r="I9" s="69"/>
      <c r="J9" s="48"/>
      <c r="K9" s="69"/>
      <c r="L9" s="69"/>
      <c r="M9" s="48"/>
      <c r="N9" s="48"/>
      <c r="O9" s="48"/>
      <c r="P9" s="26"/>
      <c r="Q9" s="40"/>
      <c r="R9" s="23"/>
      <c r="S9" s="40"/>
      <c r="T9" s="40"/>
      <c r="X9" s="23"/>
      <c r="AR9" s="34"/>
      <c r="AS9" s="77">
        <v>0</v>
      </c>
      <c r="AY9" s="23"/>
    </row>
    <row r="10" spans="1:51" x14ac:dyDescent="0.25">
      <c r="A10" s="9" t="s">
        <v>3</v>
      </c>
      <c r="B10" s="9" t="s">
        <v>39</v>
      </c>
      <c r="C10" s="1">
        <f t="shared" si="0"/>
        <v>14</v>
      </c>
      <c r="D10" s="8">
        <v>14</v>
      </c>
      <c r="E10" s="8">
        <v>0</v>
      </c>
      <c r="F10">
        <v>0</v>
      </c>
      <c r="G10" s="26">
        <v>-0.11</v>
      </c>
      <c r="H10" s="26">
        <f>(0.6*AQ10)+(0.4*AY10)</f>
        <v>-0.11143676680361017</v>
      </c>
      <c r="I10" s="69"/>
      <c r="J10" s="48"/>
      <c r="K10" s="69"/>
      <c r="L10" s="69"/>
      <c r="M10" s="48"/>
      <c r="N10" s="48"/>
      <c r="O10" s="48"/>
      <c r="P10" s="26"/>
      <c r="Q10" s="40"/>
      <c r="R10" s="23"/>
      <c r="S10" s="40"/>
      <c r="T10" s="40"/>
      <c r="X10" s="23"/>
      <c r="AC10">
        <v>10</v>
      </c>
      <c r="AD10">
        <v>10</v>
      </c>
      <c r="AE10">
        <f>AC10-AD10</f>
        <v>0</v>
      </c>
      <c r="AF10">
        <v>10</v>
      </c>
      <c r="AG10" s="119">
        <v>9.8356770000000004</v>
      </c>
      <c r="AH10">
        <f t="shared" si="1"/>
        <v>0</v>
      </c>
      <c r="AI10" s="119">
        <f>AD10-AG10</f>
        <v>0.16432299999999955</v>
      </c>
      <c r="AJ10" s="23">
        <v>-0.16600000000000001</v>
      </c>
      <c r="AK10" s="23">
        <f>(AI10-AI$50)/AI$51</f>
        <v>-0.13545013317551488</v>
      </c>
      <c r="AL10">
        <v>4</v>
      </c>
      <c r="AM10">
        <v>4</v>
      </c>
      <c r="AN10">
        <f t="shared" si="2"/>
        <v>0</v>
      </c>
      <c r="AO10" s="23">
        <v>-0.157</v>
      </c>
      <c r="AP10" s="23">
        <v>-0.16200000000000001</v>
      </c>
      <c r="AQ10" s="23">
        <f>(0.6*AK10)+(0.4*AO10)</f>
        <v>-0.14407007990530893</v>
      </c>
      <c r="AR10" s="34">
        <v>0</v>
      </c>
      <c r="AS10" s="77">
        <v>0</v>
      </c>
      <c r="AT10">
        <v>2651</v>
      </c>
      <c r="AU10" s="34">
        <v>2935.0459999999998</v>
      </c>
      <c r="AV10">
        <f>AR10-AT10</f>
        <v>-2651</v>
      </c>
      <c r="AW10" s="34">
        <f>AS10-AU10</f>
        <v>-2935.0459999999998</v>
      </c>
      <c r="AX10" s="23">
        <v>-3.2000000000000001E-2</v>
      </c>
      <c r="AY10" s="23">
        <f>(AW10-AW$50)/AW$51</f>
        <v>-6.2486797151062014E-2</v>
      </c>
    </row>
    <row r="11" spans="1:51" x14ac:dyDescent="0.25">
      <c r="A11" s="9" t="s">
        <v>3</v>
      </c>
      <c r="B11" s="9" t="s">
        <v>40</v>
      </c>
      <c r="C11" s="1">
        <f t="shared" si="0"/>
        <v>22</v>
      </c>
      <c r="D11" s="8">
        <v>21</v>
      </c>
      <c r="E11" s="8">
        <v>1</v>
      </c>
      <c r="F11">
        <v>0</v>
      </c>
      <c r="G11" s="26">
        <v>-0.16500000000000001</v>
      </c>
      <c r="H11" s="26">
        <f>(0.6*AQ11)+(0.4*AY11)</f>
        <v>-0.20520331458153859</v>
      </c>
      <c r="I11" s="69"/>
      <c r="J11" s="48"/>
      <c r="K11" s="69"/>
      <c r="L11" s="69"/>
      <c r="M11" s="48"/>
      <c r="N11" s="48"/>
      <c r="O11" s="48"/>
      <c r="P11" s="26"/>
      <c r="Q11" s="40"/>
      <c r="R11" s="23"/>
      <c r="S11" s="40"/>
      <c r="T11" s="40"/>
      <c r="X11" s="23"/>
      <c r="AC11">
        <v>2</v>
      </c>
      <c r="AD11">
        <v>2</v>
      </c>
      <c r="AE11">
        <f>AC11-AD11</f>
        <v>0</v>
      </c>
      <c r="AF11">
        <v>15</v>
      </c>
      <c r="AG11" s="119">
        <v>15.456064</v>
      </c>
      <c r="AH11">
        <f t="shared" si="1"/>
        <v>-13</v>
      </c>
      <c r="AI11" s="119">
        <f>AD11-AG11</f>
        <v>-13.456064</v>
      </c>
      <c r="AJ11" s="23">
        <v>-0.67200000000000004</v>
      </c>
      <c r="AK11" s="23">
        <f>(AI11-AI$50)/AI$51</f>
        <v>-0.7426743193898665</v>
      </c>
      <c r="AL11">
        <v>7</v>
      </c>
      <c r="AM11">
        <v>7</v>
      </c>
      <c r="AN11">
        <f t="shared" si="2"/>
        <v>0</v>
      </c>
      <c r="AO11" s="23">
        <v>0.46500000000000002</v>
      </c>
      <c r="AP11" s="23">
        <v>-0.217</v>
      </c>
      <c r="AQ11" s="23">
        <f>(0.6*AK11)+(0.4*AO11)</f>
        <v>-0.25960459163391991</v>
      </c>
      <c r="AR11" s="34">
        <v>0</v>
      </c>
      <c r="AS11" s="77">
        <v>0</v>
      </c>
      <c r="AT11">
        <v>5775</v>
      </c>
      <c r="AU11" s="34">
        <v>6443.8804</v>
      </c>
      <c r="AV11">
        <f>AR11-AT11</f>
        <v>-5775</v>
      </c>
      <c r="AW11" s="34">
        <f>AS11-AU11</f>
        <v>-6443.8804</v>
      </c>
      <c r="AX11" s="23">
        <v>-8.5999999999999993E-2</v>
      </c>
      <c r="AY11" s="23">
        <f>(AW11-AW$50)/AW$51</f>
        <v>-0.12360139900296664</v>
      </c>
    </row>
    <row r="12" spans="1:51" x14ac:dyDescent="0.25">
      <c r="A12" s="9" t="s">
        <v>43</v>
      </c>
      <c r="B12" s="9" t="s">
        <v>45</v>
      </c>
      <c r="C12" s="32">
        <f t="shared" si="0"/>
        <v>13</v>
      </c>
      <c r="D12">
        <v>0</v>
      </c>
      <c r="E12">
        <v>0</v>
      </c>
      <c r="F12">
        <v>13</v>
      </c>
      <c r="G12" s="23"/>
      <c r="H12" s="23"/>
      <c r="I12" s="69"/>
      <c r="J12" s="48"/>
      <c r="K12" s="69"/>
      <c r="L12" s="69"/>
      <c r="M12" s="48"/>
      <c r="N12" s="48"/>
      <c r="O12" s="48"/>
      <c r="P12" s="26"/>
      <c r="Q12" s="47" t="e">
        <f>(0.6*T12)+(0.4*#REF!)</f>
        <v>#REF!</v>
      </c>
      <c r="R12" s="23">
        <v>8.06</v>
      </c>
      <c r="S12" s="42">
        <f>R12/(F12+F13)</f>
        <v>0.40300000000000002</v>
      </c>
      <c r="T12" s="42">
        <f>S12/S50</f>
        <v>0.25974679784193949</v>
      </c>
      <c r="U12" s="67" t="e">
        <f>V12*#REF!</f>
        <v>#REF!</v>
      </c>
      <c r="V12" s="40" t="e">
        <f>W12*(F12+F13)</f>
        <v>#REF!</v>
      </c>
      <c r="W12" s="40" t="e">
        <f>Q12/AF2</f>
        <v>#REF!</v>
      </c>
      <c r="X12" s="23"/>
      <c r="AR12" s="34"/>
      <c r="AS12" s="77">
        <v>0</v>
      </c>
      <c r="AY12" s="23"/>
    </row>
    <row r="13" spans="1:51" x14ac:dyDescent="0.25">
      <c r="A13" s="9" t="s">
        <v>43</v>
      </c>
      <c r="B13" s="9" t="s">
        <v>47</v>
      </c>
      <c r="C13" s="10">
        <v>9</v>
      </c>
      <c r="D13">
        <v>9</v>
      </c>
      <c r="E13">
        <v>0</v>
      </c>
      <c r="F13">
        <v>7</v>
      </c>
      <c r="G13" s="26">
        <v>8.5000000000000006E-2</v>
      </c>
      <c r="H13" s="26">
        <f>(0.6*AQ13)+(0.4*AY13)</f>
        <v>0.10761765498828965</v>
      </c>
      <c r="I13" s="69"/>
      <c r="J13" s="48"/>
      <c r="K13" s="69"/>
      <c r="L13" s="69"/>
      <c r="M13" s="48"/>
      <c r="N13" s="48"/>
      <c r="O13" s="48"/>
      <c r="P13" s="26"/>
      <c r="Q13" s="40"/>
      <c r="R13" s="23"/>
      <c r="S13" s="40"/>
      <c r="T13" s="40"/>
      <c r="U13" s="37"/>
      <c r="V13" s="40"/>
      <c r="W13" s="40"/>
      <c r="X13" s="23"/>
      <c r="AC13">
        <v>21</v>
      </c>
      <c r="AD13">
        <v>21</v>
      </c>
      <c r="AE13">
        <f>AC13-AD13</f>
        <v>0</v>
      </c>
      <c r="AF13">
        <v>6</v>
      </c>
      <c r="AG13" s="119">
        <v>6.3229350000000002</v>
      </c>
      <c r="AH13">
        <f t="shared" si="1"/>
        <v>15</v>
      </c>
      <c r="AI13" s="119">
        <f>AD13-AG13</f>
        <v>14.677064999999999</v>
      </c>
      <c r="AJ13" s="23">
        <v>0.41799999999999998</v>
      </c>
      <c r="AK13" s="23">
        <f>(AI13-AI$50)/AI$51</f>
        <v>0.51155702974054929</v>
      </c>
      <c r="AL13">
        <v>0</v>
      </c>
      <c r="AM13">
        <v>3</v>
      </c>
      <c r="AN13">
        <f t="shared" si="2"/>
        <v>-3</v>
      </c>
      <c r="AO13" s="23">
        <v>-0.26100000000000001</v>
      </c>
      <c r="AP13" s="23">
        <v>0.14699999999999999</v>
      </c>
      <c r="AQ13" s="23">
        <f>(0.6*AK13)+(0.4*AO13)</f>
        <v>0.20253421784432957</v>
      </c>
      <c r="AR13" s="34">
        <v>0</v>
      </c>
      <c r="AS13" s="77">
        <v>0</v>
      </c>
      <c r="AT13">
        <v>1238</v>
      </c>
      <c r="AU13" s="34">
        <v>1342.9780000000001</v>
      </c>
      <c r="AV13">
        <f>AR13-AT13</f>
        <v>-1238</v>
      </c>
      <c r="AW13" s="34">
        <f>AS13-AU13</f>
        <v>-1342.9780000000001</v>
      </c>
      <c r="AX13" s="23">
        <v>-8.0000000000000002E-3</v>
      </c>
      <c r="AY13" s="23">
        <f>(AW13-AW$50)/AW$51</f>
        <v>-3.4757189295770215E-2</v>
      </c>
    </row>
    <row r="14" spans="1:51" x14ac:dyDescent="0.25">
      <c r="A14" s="7" t="s">
        <v>43</v>
      </c>
      <c r="B14" s="7" t="s">
        <v>48</v>
      </c>
      <c r="C14" s="10">
        <f t="shared" si="0"/>
        <v>5</v>
      </c>
      <c r="D14">
        <v>5</v>
      </c>
      <c r="E14">
        <v>0</v>
      </c>
      <c r="F14">
        <v>0</v>
      </c>
      <c r="G14" s="26">
        <v>-0.123</v>
      </c>
      <c r="H14" s="26">
        <f>(0.6*AQ14)+(0.4*AY14)</f>
        <v>-0.13720827815917738</v>
      </c>
      <c r="I14" s="69"/>
      <c r="J14" s="48"/>
      <c r="K14" s="69"/>
      <c r="L14" s="69"/>
      <c r="M14" s="48"/>
      <c r="N14" s="48"/>
      <c r="O14" s="48"/>
      <c r="P14" s="26"/>
      <c r="Q14" s="40"/>
      <c r="R14" s="23"/>
      <c r="S14" s="40"/>
      <c r="T14" s="40"/>
      <c r="U14" s="37"/>
      <c r="V14" s="40"/>
      <c r="W14" s="40"/>
      <c r="X14" s="23"/>
      <c r="AC14">
        <v>1</v>
      </c>
      <c r="AD14">
        <v>1</v>
      </c>
      <c r="AE14">
        <f>AC14-AD14</f>
        <v>0</v>
      </c>
      <c r="AF14">
        <v>3</v>
      </c>
      <c r="AG14" s="119">
        <v>3.5127419999999998</v>
      </c>
      <c r="AH14">
        <f t="shared" si="1"/>
        <v>-2</v>
      </c>
      <c r="AI14" s="119">
        <f>AD14-AG14</f>
        <v>-2.5127419999999998</v>
      </c>
      <c r="AJ14" s="23">
        <v>-0.24399999999999999</v>
      </c>
      <c r="AK14" s="23">
        <f>(AI14-AI$50)/AI$51</f>
        <v>-0.25479906328065233</v>
      </c>
      <c r="AL14">
        <v>0</v>
      </c>
      <c r="AM14">
        <v>2</v>
      </c>
      <c r="AN14">
        <f t="shared" si="2"/>
        <v>-2</v>
      </c>
      <c r="AO14" s="23">
        <v>-0.157</v>
      </c>
      <c r="AP14" s="23">
        <v>-0.20899999999999999</v>
      </c>
      <c r="AQ14" s="23">
        <f>(0.6*AK14)+(0.4*AO14)</f>
        <v>-0.2156794379683914</v>
      </c>
      <c r="AR14" s="34">
        <v>0</v>
      </c>
      <c r="AS14" s="77">
        <v>0</v>
      </c>
      <c r="AT14">
        <v>450</v>
      </c>
      <c r="AU14" s="34">
        <v>467.0899</v>
      </c>
      <c r="AV14">
        <f>AR14-AT14</f>
        <v>-450</v>
      </c>
      <c r="AW14" s="34">
        <f>AS14-AU14</f>
        <v>-467.0899</v>
      </c>
      <c r="AX14" s="23">
        <v>6.0000000000000001E-3</v>
      </c>
      <c r="AY14" s="23">
        <f>(AW14-AW$50)/AW$51</f>
        <v>-1.950153844535641E-2</v>
      </c>
    </row>
    <row r="15" spans="1:51" x14ac:dyDescent="0.25">
      <c r="A15" s="9" t="s">
        <v>43</v>
      </c>
      <c r="B15" s="9" t="s">
        <v>49</v>
      </c>
      <c r="C15" s="32">
        <f t="shared" si="0"/>
        <v>1</v>
      </c>
      <c r="D15">
        <v>1</v>
      </c>
      <c r="E15">
        <v>0</v>
      </c>
      <c r="F15">
        <v>0</v>
      </c>
      <c r="G15" s="23"/>
      <c r="H15" s="23"/>
      <c r="I15" s="69"/>
      <c r="J15" s="48"/>
      <c r="K15" s="69"/>
      <c r="L15" s="69"/>
      <c r="M15" s="48"/>
      <c r="N15" s="48"/>
      <c r="O15" s="48"/>
      <c r="P15" s="26"/>
      <c r="Q15" s="40"/>
      <c r="R15" s="23"/>
      <c r="S15" s="40"/>
      <c r="T15" s="40"/>
      <c r="U15" s="37"/>
      <c r="V15" s="40"/>
      <c r="W15" s="40"/>
      <c r="X15" s="23"/>
      <c r="AR15" s="34"/>
      <c r="AS15" s="77">
        <v>0</v>
      </c>
      <c r="AY15" s="23"/>
    </row>
    <row r="16" spans="1:51" x14ac:dyDescent="0.25">
      <c r="A16" s="9" t="s">
        <v>43</v>
      </c>
      <c r="B16" s="9" t="s">
        <v>51</v>
      </c>
      <c r="C16" s="32">
        <f t="shared" si="0"/>
        <v>1</v>
      </c>
      <c r="D16">
        <v>1</v>
      </c>
      <c r="E16">
        <v>0</v>
      </c>
      <c r="F16">
        <v>0</v>
      </c>
      <c r="G16" s="23"/>
      <c r="H16" s="23"/>
      <c r="I16" s="69"/>
      <c r="J16" s="48"/>
      <c r="K16" s="69"/>
      <c r="L16" s="69"/>
      <c r="M16" s="48"/>
      <c r="N16" s="48"/>
      <c r="O16" s="48"/>
      <c r="P16" s="26"/>
      <c r="Q16" s="40"/>
      <c r="R16" s="23"/>
      <c r="S16" s="40"/>
      <c r="T16" s="40"/>
      <c r="U16" s="37"/>
      <c r="V16" s="40"/>
      <c r="W16" s="40"/>
      <c r="X16" s="23"/>
      <c r="AR16" s="34"/>
      <c r="AS16" s="77">
        <v>0</v>
      </c>
      <c r="AY16" s="23"/>
    </row>
    <row r="17" spans="1:51" x14ac:dyDescent="0.25">
      <c r="A17" s="7" t="s">
        <v>52</v>
      </c>
      <c r="B17" s="7" t="s">
        <v>58</v>
      </c>
      <c r="C17" s="10">
        <f t="shared" si="0"/>
        <v>56</v>
      </c>
      <c r="D17" s="8">
        <v>56</v>
      </c>
      <c r="E17">
        <v>0</v>
      </c>
      <c r="F17">
        <v>0</v>
      </c>
      <c r="G17" s="26">
        <v>-0.96599999999999997</v>
      </c>
      <c r="H17" s="26">
        <f>(0.6*AQ17)+(0.4*AY17)</f>
        <v>-1.0883862987212605</v>
      </c>
      <c r="I17" s="69"/>
      <c r="J17" s="48"/>
      <c r="K17" s="69"/>
      <c r="L17" s="69"/>
      <c r="M17" s="48"/>
      <c r="N17" s="48"/>
      <c r="O17" s="48"/>
      <c r="P17" s="26"/>
      <c r="Q17" s="40"/>
      <c r="R17" s="23"/>
      <c r="S17" s="40"/>
      <c r="T17" s="40"/>
      <c r="U17" s="37"/>
      <c r="V17" s="40"/>
      <c r="W17" s="40"/>
      <c r="X17" s="23"/>
      <c r="AC17">
        <v>13</v>
      </c>
      <c r="AD17">
        <v>11</v>
      </c>
      <c r="AE17">
        <f>AC17-AD17</f>
        <v>2</v>
      </c>
      <c r="AF17">
        <v>38</v>
      </c>
      <c r="AG17" s="119">
        <v>39.342708000000002</v>
      </c>
      <c r="AH17">
        <f t="shared" si="1"/>
        <v>-25</v>
      </c>
      <c r="AI17" s="119">
        <f>AD17-AG17</f>
        <v>-28.342708000000002</v>
      </c>
      <c r="AJ17" s="23">
        <v>-1.1399999999999999</v>
      </c>
      <c r="AK17" s="23">
        <f>(AI17-AI$50)/AI$51</f>
        <v>-1.4063507838223943</v>
      </c>
      <c r="AL17">
        <v>2</v>
      </c>
      <c r="AM17">
        <v>18</v>
      </c>
      <c r="AN17">
        <f t="shared" si="2"/>
        <v>-16</v>
      </c>
      <c r="AO17" s="23">
        <v>-1.506</v>
      </c>
      <c r="AP17" s="23">
        <v>-1.286</v>
      </c>
      <c r="AQ17" s="23">
        <f>(0.6*AK17)+(0.4*AO17)</f>
        <v>-1.4462104702934366</v>
      </c>
      <c r="AR17" s="34">
        <v>0</v>
      </c>
      <c r="AS17" s="77">
        <v>0</v>
      </c>
      <c r="AT17">
        <v>28878</v>
      </c>
      <c r="AU17" s="34">
        <v>31019.869699999999</v>
      </c>
      <c r="AV17">
        <f>AR17-AT17</f>
        <v>-28878</v>
      </c>
      <c r="AW17" s="34">
        <f>AS17-AU17</f>
        <v>-31019.869699999999</v>
      </c>
      <c r="AX17" s="23">
        <v>-0.48699999999999999</v>
      </c>
      <c r="AY17" s="23">
        <f>(AW17-AW$50)/AW$51</f>
        <v>-0.551650041362996</v>
      </c>
    </row>
    <row r="18" spans="1:51" x14ac:dyDescent="0.25">
      <c r="A18" s="7" t="s">
        <v>68</v>
      </c>
      <c r="B18" s="7" t="s">
        <v>69</v>
      </c>
      <c r="C18" s="32">
        <f t="shared" si="0"/>
        <v>1</v>
      </c>
      <c r="D18" s="8">
        <v>0</v>
      </c>
      <c r="E18" s="8">
        <v>0</v>
      </c>
      <c r="F18" s="29">
        <v>1</v>
      </c>
      <c r="G18" s="23"/>
      <c r="H18" s="23"/>
      <c r="I18" s="69"/>
      <c r="J18" s="48"/>
      <c r="K18" s="69"/>
      <c r="L18" s="69"/>
      <c r="M18" s="48"/>
      <c r="N18" s="48"/>
      <c r="O18" s="48"/>
      <c r="P18" s="26"/>
      <c r="Q18" s="40"/>
      <c r="R18" s="23"/>
      <c r="S18" s="40"/>
      <c r="T18" s="40"/>
      <c r="U18" s="37"/>
      <c r="V18" s="40"/>
      <c r="W18" s="40"/>
      <c r="X18" s="23"/>
      <c r="AR18" s="34"/>
      <c r="AS18" s="77">
        <v>0</v>
      </c>
      <c r="AY18" s="23"/>
    </row>
    <row r="19" spans="1:51" x14ac:dyDescent="0.25">
      <c r="A19" s="9" t="s">
        <v>68</v>
      </c>
      <c r="B19" s="9" t="s">
        <v>70</v>
      </c>
      <c r="C19" s="32">
        <f t="shared" si="0"/>
        <v>13</v>
      </c>
      <c r="D19" s="8">
        <v>0</v>
      </c>
      <c r="E19" s="8">
        <v>0</v>
      </c>
      <c r="F19" s="8">
        <v>13</v>
      </c>
      <c r="I19" s="70"/>
      <c r="J19" s="48"/>
      <c r="K19" s="69"/>
      <c r="L19" s="69"/>
      <c r="M19" s="48"/>
      <c r="N19" s="48"/>
      <c r="O19" s="48"/>
      <c r="P19" s="26"/>
      <c r="Q19" s="40" t="e">
        <f>(0.6*T19)+(0.4*#REF!)</f>
        <v>#REF!</v>
      </c>
      <c r="R19" s="23">
        <v>0.502</v>
      </c>
      <c r="S19" s="40">
        <f>R19/F19</f>
        <v>3.8615384615384614E-2</v>
      </c>
      <c r="T19" s="40">
        <f>S19/S50</f>
        <v>2.4888889581342551E-2</v>
      </c>
      <c r="U19" s="37"/>
      <c r="V19" s="40"/>
      <c r="W19" s="40"/>
      <c r="X19" s="23"/>
      <c r="AR19" s="34"/>
      <c r="AS19" s="77">
        <v>0</v>
      </c>
      <c r="AY19" s="23"/>
    </row>
    <row r="20" spans="1:51" x14ac:dyDescent="0.25">
      <c r="A20" s="9" t="s">
        <v>74</v>
      </c>
      <c r="B20" s="9" t="s">
        <v>75</v>
      </c>
      <c r="C20" s="32">
        <f t="shared" si="0"/>
        <v>118</v>
      </c>
      <c r="D20">
        <v>0</v>
      </c>
      <c r="E20">
        <v>0</v>
      </c>
      <c r="F20">
        <v>118</v>
      </c>
      <c r="G20" s="23"/>
      <c r="H20" s="23"/>
      <c r="I20" s="69"/>
      <c r="J20" s="48"/>
      <c r="K20" s="69"/>
      <c r="L20" s="69"/>
      <c r="M20" s="48"/>
      <c r="N20" s="48"/>
      <c r="O20" s="48"/>
      <c r="P20" s="26"/>
      <c r="Q20" s="47" t="e">
        <f>(0.6*T20)+(0.4*#REF!)</f>
        <v>#REF!</v>
      </c>
      <c r="R20" s="23">
        <v>23.234999999999999</v>
      </c>
      <c r="S20" s="42">
        <f>R20/F20</f>
        <v>0.19690677966101694</v>
      </c>
      <c r="T20" s="42">
        <f>S20/S50</f>
        <v>0.12691291684942305</v>
      </c>
      <c r="U20" s="67" t="e">
        <f>V20*#REF!</f>
        <v>#REF!</v>
      </c>
      <c r="V20" s="40" t="e">
        <f>W20*F20</f>
        <v>#REF!</v>
      </c>
      <c r="W20" s="40" t="e">
        <f>Q20/AF2</f>
        <v>#REF!</v>
      </c>
      <c r="X20" s="23"/>
      <c r="AR20" s="34"/>
      <c r="AS20" s="77">
        <v>0</v>
      </c>
      <c r="AY20" s="23"/>
    </row>
    <row r="21" spans="1:51" x14ac:dyDescent="0.25">
      <c r="A21" s="7" t="s">
        <v>76</v>
      </c>
      <c r="B21" s="7" t="s">
        <v>77</v>
      </c>
      <c r="C21" s="10">
        <v>8</v>
      </c>
      <c r="D21" s="8">
        <v>8</v>
      </c>
      <c r="E21" s="8">
        <v>0</v>
      </c>
      <c r="F21" s="8">
        <v>47</v>
      </c>
      <c r="G21" s="26">
        <v>-0.19400000000000001</v>
      </c>
      <c r="H21" s="26">
        <f>(0.6*AQ21)+(0.4*AY21)</f>
        <v>-0.13568345061034476</v>
      </c>
      <c r="I21" s="69"/>
      <c r="J21" s="48"/>
      <c r="K21" s="69"/>
      <c r="L21" s="69"/>
      <c r="M21" s="48"/>
      <c r="N21" s="48"/>
      <c r="O21" s="48"/>
      <c r="P21" s="26"/>
      <c r="Q21" s="47" t="e">
        <f>(0.6*T21)+(0.4*#REF!)</f>
        <v>#REF!</v>
      </c>
      <c r="R21" s="23">
        <v>34.962000000000003</v>
      </c>
      <c r="S21" s="42">
        <f>R21/(F21+F22+F23)</f>
        <v>0.29135000000000005</v>
      </c>
      <c r="T21" s="42">
        <f>S21/S50</f>
        <v>0.18778468871277687</v>
      </c>
      <c r="U21" s="67" t="e">
        <f>V21*#REF!</f>
        <v>#REF!</v>
      </c>
      <c r="V21" s="40" t="e">
        <f>W21*(F21+F22+F23)</f>
        <v>#REF!</v>
      </c>
      <c r="W21" s="40" t="e">
        <f>Q21/AF2</f>
        <v>#REF!</v>
      </c>
      <c r="X21" s="23"/>
      <c r="AC21">
        <v>0</v>
      </c>
      <c r="AD21">
        <v>1</v>
      </c>
      <c r="AE21">
        <f>AC21-AD21</f>
        <v>-1</v>
      </c>
      <c r="AF21">
        <v>5</v>
      </c>
      <c r="AG21" s="119">
        <v>5.620387</v>
      </c>
      <c r="AH21">
        <f t="shared" si="1"/>
        <v>-5</v>
      </c>
      <c r="AI21" s="119">
        <f>AD21-AG21</f>
        <v>-4.620387</v>
      </c>
      <c r="AJ21" s="23">
        <v>-0.36099999999999999</v>
      </c>
      <c r="AK21" s="23">
        <f>(AI21-AI$50)/AI$51</f>
        <v>-0.3487621070586116</v>
      </c>
      <c r="AL21">
        <v>4</v>
      </c>
      <c r="AM21">
        <v>3</v>
      </c>
      <c r="AN21">
        <f t="shared" si="2"/>
        <v>1</v>
      </c>
      <c r="AO21" s="23">
        <v>-0.26100000000000001</v>
      </c>
      <c r="AP21" s="23">
        <v>-0.32100000000000001</v>
      </c>
      <c r="AQ21" s="23">
        <f>(0.6*AK21)+(0.4*AO21)</f>
        <v>-0.31365726423516699</v>
      </c>
      <c r="AR21" s="34">
        <v>0</v>
      </c>
      <c r="AS21" s="77">
        <v>9278</v>
      </c>
      <c r="AT21">
        <v>1011</v>
      </c>
      <c r="AU21" s="34">
        <v>1088.2737999999999</v>
      </c>
      <c r="AV21">
        <f>AR21-AT21</f>
        <v>-1011</v>
      </c>
      <c r="AW21" s="34">
        <f>AS21-AU21</f>
        <v>8189.7262000000001</v>
      </c>
      <c r="AX21" s="23">
        <v>-4.0000000000000001E-3</v>
      </c>
      <c r="AY21" s="23">
        <f>(AW21-AW$50)/AW$51</f>
        <v>0.13127726982688856</v>
      </c>
    </row>
    <row r="22" spans="1:51" x14ac:dyDescent="0.25">
      <c r="A22" s="7" t="s">
        <v>76</v>
      </c>
      <c r="B22" s="7" t="s">
        <v>78</v>
      </c>
      <c r="C22" s="10">
        <v>5</v>
      </c>
      <c r="D22" s="8">
        <v>5</v>
      </c>
      <c r="E22" s="8">
        <v>0</v>
      </c>
      <c r="F22" s="8">
        <v>37</v>
      </c>
      <c r="G22" s="26">
        <v>-0.13700000000000001</v>
      </c>
      <c r="H22" s="26">
        <f>(0.6*AQ22)+(0.4*AY22)</f>
        <v>-0.13720827815917738</v>
      </c>
      <c r="I22" s="69"/>
      <c r="J22" s="48"/>
      <c r="K22" s="69"/>
      <c r="L22" s="69"/>
      <c r="M22" s="48"/>
      <c r="N22" s="48"/>
      <c r="O22" s="48"/>
      <c r="P22" s="26"/>
      <c r="Q22" s="40"/>
      <c r="R22" s="23"/>
      <c r="S22" s="40"/>
      <c r="T22" s="40"/>
      <c r="X22" s="23"/>
      <c r="AC22">
        <v>0</v>
      </c>
      <c r="AD22">
        <v>1</v>
      </c>
      <c r="AE22">
        <f>AC22-AD22</f>
        <v>-1</v>
      </c>
      <c r="AF22">
        <v>3</v>
      </c>
      <c r="AG22" s="119">
        <v>3.5127419999999998</v>
      </c>
      <c r="AH22">
        <f t="shared" si="1"/>
        <v>-3</v>
      </c>
      <c r="AI22" s="119">
        <f>AD22-AG22</f>
        <v>-2.5127419999999998</v>
      </c>
      <c r="AJ22" s="23">
        <v>-0.28299999999999997</v>
      </c>
      <c r="AK22" s="23">
        <f>(AI22-AI$50)/AI$51</f>
        <v>-0.25479906328065233</v>
      </c>
      <c r="AL22">
        <v>7</v>
      </c>
      <c r="AM22">
        <v>2</v>
      </c>
      <c r="AN22">
        <f t="shared" si="2"/>
        <v>5</v>
      </c>
      <c r="AO22" s="23">
        <v>-0.157</v>
      </c>
      <c r="AP22" s="23">
        <v>-0.23300000000000001</v>
      </c>
      <c r="AQ22" s="23">
        <f>(0.6*AK22)+(0.4*AO22)</f>
        <v>-0.2156794379683914</v>
      </c>
      <c r="AR22" s="34">
        <v>0</v>
      </c>
      <c r="AS22" s="77">
        <v>0</v>
      </c>
      <c r="AT22">
        <v>450</v>
      </c>
      <c r="AU22" s="34">
        <v>467.0899</v>
      </c>
      <c r="AV22">
        <f>AR22-AT22</f>
        <v>-450</v>
      </c>
      <c r="AW22" s="34">
        <f>AS22-AU22</f>
        <v>-467.0899</v>
      </c>
      <c r="AX22" s="23">
        <v>6.0000000000000001E-3</v>
      </c>
      <c r="AY22" s="23">
        <f>(AW22-AW$50)/AW$51</f>
        <v>-1.950153844535641E-2</v>
      </c>
    </row>
    <row r="23" spans="1:51" x14ac:dyDescent="0.25">
      <c r="A23" s="7" t="s">
        <v>76</v>
      </c>
      <c r="B23" s="7" t="s">
        <v>79</v>
      </c>
      <c r="C23" s="32">
        <v>4</v>
      </c>
      <c r="D23" s="8">
        <v>4</v>
      </c>
      <c r="E23" s="8">
        <v>0</v>
      </c>
      <c r="F23" s="8">
        <v>36</v>
      </c>
      <c r="I23" s="69"/>
      <c r="J23" s="48"/>
      <c r="K23" s="69"/>
      <c r="L23" s="69"/>
      <c r="M23" s="48"/>
      <c r="N23" s="48"/>
      <c r="O23" s="48"/>
      <c r="P23" s="26"/>
      <c r="Q23" s="40"/>
      <c r="R23" s="23"/>
      <c r="S23" s="40"/>
      <c r="T23" s="40"/>
      <c r="X23" s="23"/>
      <c r="AR23" s="34"/>
      <c r="AS23" s="77">
        <v>0</v>
      </c>
      <c r="AY23" s="23"/>
    </row>
    <row r="24" spans="1:51" x14ac:dyDescent="0.25">
      <c r="A24" s="9" t="s">
        <v>83</v>
      </c>
      <c r="B24" s="9" t="s">
        <v>91</v>
      </c>
      <c r="C24" s="32">
        <f t="shared" si="0"/>
        <v>44</v>
      </c>
      <c r="D24">
        <v>0</v>
      </c>
      <c r="E24">
        <v>0</v>
      </c>
      <c r="F24">
        <v>44</v>
      </c>
      <c r="I24" s="69"/>
      <c r="J24" s="48"/>
      <c r="K24" s="69"/>
      <c r="L24" s="69"/>
      <c r="M24" s="48"/>
      <c r="N24" s="48"/>
      <c r="O24" s="48"/>
      <c r="P24" s="26"/>
      <c r="Q24" s="40" t="e">
        <f>(0.6*T24)+(0.4*#REF!)</f>
        <v>#REF!</v>
      </c>
      <c r="R24" s="23">
        <v>6.2770000000000001</v>
      </c>
      <c r="S24" s="40">
        <f>R24/F24</f>
        <v>0.1426590909090909</v>
      </c>
      <c r="T24" s="40">
        <f>S24/S50</f>
        <v>9.1948491430964022E-2</v>
      </c>
      <c r="X24" s="23"/>
      <c r="AR24" s="34"/>
      <c r="AS24" s="77">
        <v>0</v>
      </c>
      <c r="AY24" s="23"/>
    </row>
    <row r="25" spans="1:51" x14ac:dyDescent="0.25">
      <c r="A25" s="7" t="s">
        <v>92</v>
      </c>
      <c r="B25" s="7" t="s">
        <v>95</v>
      </c>
      <c r="C25" s="10">
        <v>15</v>
      </c>
      <c r="D25" s="11">
        <v>12</v>
      </c>
      <c r="E25" s="11">
        <v>3</v>
      </c>
      <c r="F25" s="30">
        <v>1</v>
      </c>
      <c r="G25" s="26">
        <v>-9.9000000000000005E-2</v>
      </c>
      <c r="H25" s="26">
        <f>(0.6*AQ25)+(0.4*AY25)</f>
        <v>-0.10929250662289325</v>
      </c>
      <c r="I25" s="69"/>
      <c r="J25" s="48"/>
      <c r="K25" s="69"/>
      <c r="L25" s="69"/>
      <c r="M25" s="48"/>
      <c r="N25" s="48"/>
      <c r="O25" s="48"/>
      <c r="P25" s="26"/>
      <c r="Q25" s="40"/>
      <c r="R25" s="23"/>
      <c r="S25" s="40"/>
      <c r="T25" s="40"/>
      <c r="X25" s="23"/>
      <c r="AC25">
        <v>11</v>
      </c>
      <c r="AD25">
        <v>11</v>
      </c>
      <c r="AE25">
        <f>AC25-AD25</f>
        <v>0</v>
      </c>
      <c r="AF25">
        <v>10</v>
      </c>
      <c r="AG25" s="119">
        <v>10.538225000000001</v>
      </c>
      <c r="AH25">
        <f t="shared" si="1"/>
        <v>1</v>
      </c>
      <c r="AI25" s="119">
        <f>AD25-AG25</f>
        <v>0.46177499999999938</v>
      </c>
      <c r="AJ25" s="23">
        <v>-0.127</v>
      </c>
      <c r="AK25" s="23">
        <f>(AI25-AI$50)/AI$51</f>
        <v>-0.12218912608094178</v>
      </c>
      <c r="AL25">
        <v>0</v>
      </c>
      <c r="AM25">
        <v>5</v>
      </c>
      <c r="AN25">
        <f t="shared" si="2"/>
        <v>-5</v>
      </c>
      <c r="AO25" s="23">
        <v>-0.157</v>
      </c>
      <c r="AP25" s="23">
        <v>-0.13900000000000001</v>
      </c>
      <c r="AQ25" s="23">
        <f>(0.6*AK25)+(0.4*AO25)</f>
        <v>-0.13611347564856507</v>
      </c>
      <c r="AR25" s="34">
        <v>0</v>
      </c>
      <c r="AS25" s="77">
        <v>0</v>
      </c>
      <c r="AT25">
        <v>2986</v>
      </c>
      <c r="AU25" s="34">
        <v>3312.5003999999999</v>
      </c>
      <c r="AV25">
        <f>AR25-AT25</f>
        <v>-2986</v>
      </c>
      <c r="AW25" s="34">
        <f t="shared" ref="AW25:AW38" si="4">AS25-AU25</f>
        <v>-3312.5003999999999</v>
      </c>
      <c r="AX25" s="23">
        <v>-3.7999999999999999E-2</v>
      </c>
      <c r="AY25" s="23">
        <f>(AW25-AW$50)/AW$51</f>
        <v>-6.9061053084385496E-2</v>
      </c>
    </row>
    <row r="26" spans="1:51" x14ac:dyDescent="0.25">
      <c r="A26" s="7" t="s">
        <v>99</v>
      </c>
      <c r="B26" s="7" t="s">
        <v>100</v>
      </c>
      <c r="C26" s="10">
        <f t="shared" si="0"/>
        <v>91</v>
      </c>
      <c r="D26">
        <v>73</v>
      </c>
      <c r="E26">
        <v>18</v>
      </c>
      <c r="F26">
        <v>0</v>
      </c>
      <c r="G26" s="26">
        <v>-0.34200000000000003</v>
      </c>
      <c r="H26" s="26">
        <f>(0.6*AQ26)+(0.4*AY26)</f>
        <v>-0.4350589612243474</v>
      </c>
      <c r="I26" s="70"/>
      <c r="J26" s="48" t="e">
        <f>C26*N26</f>
        <v>#REF!</v>
      </c>
      <c r="K26" s="69"/>
      <c r="L26" s="69"/>
      <c r="M26" s="48"/>
      <c r="N26" s="48" t="e">
        <f>#REF!/AA2</f>
        <v>#REF!</v>
      </c>
      <c r="O26" s="48"/>
      <c r="P26" s="26"/>
      <c r="Q26" s="40"/>
      <c r="R26" s="23"/>
      <c r="S26" s="40"/>
      <c r="T26" s="40"/>
      <c r="X26" s="23"/>
      <c r="AC26">
        <v>35</v>
      </c>
      <c r="AD26">
        <v>35</v>
      </c>
      <c r="AE26">
        <f>AC26-AD26</f>
        <v>0</v>
      </c>
      <c r="AF26">
        <v>62</v>
      </c>
      <c r="AG26" s="119">
        <v>63.931901000000003</v>
      </c>
      <c r="AH26">
        <f t="shared" si="1"/>
        <v>-27</v>
      </c>
      <c r="AI26" s="119">
        <f>AD26-AG26</f>
        <v>-28.931901000000003</v>
      </c>
      <c r="AJ26" s="23">
        <v>-1.218</v>
      </c>
      <c r="AK26" s="23">
        <f>(AI26-AI$50)/AI$51</f>
        <v>-1.4326181901705539</v>
      </c>
      <c r="AL26">
        <v>14</v>
      </c>
      <c r="AM26">
        <v>29</v>
      </c>
      <c r="AN26">
        <f t="shared" si="2"/>
        <v>-15</v>
      </c>
      <c r="AO26" s="23">
        <v>-2.2320000000000002</v>
      </c>
      <c r="AP26" s="23">
        <v>-1.623</v>
      </c>
      <c r="AQ26" s="23">
        <f>(0.6*AK26)+(0.4*AO26)</f>
        <v>-1.7523709141023325</v>
      </c>
      <c r="AR26" s="34">
        <v>156955</v>
      </c>
      <c r="AS26" s="77">
        <v>156955.01</v>
      </c>
      <c r="AT26">
        <v>66647</v>
      </c>
      <c r="AU26" s="34">
        <v>67832.674499999994</v>
      </c>
      <c r="AV26">
        <f>AR26-AT26</f>
        <v>90308</v>
      </c>
      <c r="AW26" s="34">
        <f t="shared" si="4"/>
        <v>89122.335500000016</v>
      </c>
      <c r="AX26" s="23">
        <v>1.579</v>
      </c>
      <c r="AY26" s="23">
        <f>(AW26-AW$50)/AW$51</f>
        <v>1.5409089680926302</v>
      </c>
    </row>
    <row r="27" spans="1:51" x14ac:dyDescent="0.25">
      <c r="A27" s="7" t="s">
        <v>106</v>
      </c>
      <c r="B27" s="7" t="s">
        <v>100</v>
      </c>
      <c r="C27" s="10">
        <f t="shared" si="0"/>
        <v>37</v>
      </c>
      <c r="D27" s="8">
        <v>37</v>
      </c>
      <c r="E27" s="8">
        <v>0</v>
      </c>
      <c r="F27">
        <v>0</v>
      </c>
      <c r="G27" s="26">
        <v>-2.5000000000000001E-2</v>
      </c>
      <c r="H27" s="26">
        <f>(0.6*AQ27)+(0.4*AY27)</f>
        <v>-1.5130150713096452E-3</v>
      </c>
      <c r="K27" s="37"/>
      <c r="L27" s="37"/>
      <c r="P27" s="23"/>
      <c r="Q27" s="40"/>
      <c r="R27" s="23"/>
      <c r="S27" s="40"/>
      <c r="T27" s="40"/>
      <c r="X27" s="23"/>
      <c r="AC27">
        <v>19</v>
      </c>
      <c r="AD27">
        <v>23</v>
      </c>
      <c r="AE27">
        <f>AC27-AD27</f>
        <v>-4</v>
      </c>
      <c r="AF27">
        <v>25</v>
      </c>
      <c r="AG27" s="119">
        <v>25.994288999999998</v>
      </c>
      <c r="AH27">
        <f t="shared" si="1"/>
        <v>-6</v>
      </c>
      <c r="AI27" s="119">
        <f>AD27-AG27</f>
        <v>-2.9942889999999984</v>
      </c>
      <c r="AJ27" s="23">
        <v>-0.4</v>
      </c>
      <c r="AK27" s="23">
        <f>(AI27-AI$50)/AI$51</f>
        <v>-0.27626739492196045</v>
      </c>
      <c r="AL27">
        <v>31</v>
      </c>
      <c r="AM27">
        <v>12</v>
      </c>
      <c r="AN27">
        <f t="shared" si="2"/>
        <v>19</v>
      </c>
      <c r="AO27" s="23">
        <v>0.88</v>
      </c>
      <c r="AP27" s="23">
        <v>0.112</v>
      </c>
      <c r="AQ27" s="23">
        <f>(0.6*AK27)+(0.4*AO27)</f>
        <v>0.18623956304682376</v>
      </c>
      <c r="AR27" s="34">
        <v>0</v>
      </c>
      <c r="AS27" s="77">
        <v>0</v>
      </c>
      <c r="AT27">
        <v>14142</v>
      </c>
      <c r="AU27" s="34">
        <v>15603.7394</v>
      </c>
      <c r="AV27">
        <f>AR27-AT27</f>
        <v>-14142</v>
      </c>
      <c r="AW27" s="34">
        <f t="shared" si="4"/>
        <v>-15603.7394</v>
      </c>
      <c r="AX27" s="23">
        <v>-0.23100000000000001</v>
      </c>
      <c r="AY27" s="23">
        <f>(AW27-AW$50)/AW$51</f>
        <v>-0.28314188224850972</v>
      </c>
    </row>
    <row r="28" spans="1:51" x14ac:dyDescent="0.25">
      <c r="A28" s="9" t="s">
        <v>106</v>
      </c>
      <c r="B28" s="9" t="s">
        <v>108</v>
      </c>
      <c r="C28" s="10">
        <f t="shared" si="0"/>
        <v>29</v>
      </c>
      <c r="D28" s="8">
        <v>29</v>
      </c>
      <c r="E28" s="8">
        <v>0</v>
      </c>
      <c r="F28">
        <v>0</v>
      </c>
      <c r="G28" s="25">
        <v>0.308</v>
      </c>
      <c r="H28" s="25">
        <f>(0.6*AQ28)+(0.4*AY28)</f>
        <v>0.31235234950581581</v>
      </c>
      <c r="I28" s="68">
        <f>M28*Z$6</f>
        <v>7057.0444118760897</v>
      </c>
      <c r="J28" s="48"/>
      <c r="K28" s="37">
        <f>O28*Z$2</f>
        <v>6314.8738883338719</v>
      </c>
      <c r="L28" s="37">
        <f>K28-I28</f>
        <v>-742.17052354221778</v>
      </c>
      <c r="M28" s="48">
        <f>C27*P28</f>
        <v>1.9644888812273744</v>
      </c>
      <c r="N28" s="48"/>
      <c r="O28" s="40">
        <f>C28*X28</f>
        <v>1.5401288670519806</v>
      </c>
      <c r="P28" s="26">
        <f>G28/AA$3</f>
        <v>5.3094294087226337E-2</v>
      </c>
      <c r="Q28" s="40"/>
      <c r="R28" s="23"/>
      <c r="S28" s="40"/>
      <c r="T28" s="40"/>
      <c r="X28" s="23">
        <f>H28/AB$3</f>
        <v>5.3107891967309674E-2</v>
      </c>
      <c r="AC28">
        <v>30</v>
      </c>
      <c r="AD28">
        <v>30</v>
      </c>
      <c r="AE28">
        <f>AC28-AD28</f>
        <v>0</v>
      </c>
      <c r="AF28">
        <v>20</v>
      </c>
      <c r="AG28" s="119">
        <v>20.373902000000001</v>
      </c>
      <c r="AH28">
        <f t="shared" si="1"/>
        <v>10</v>
      </c>
      <c r="AI28" s="119">
        <f>AD28-AG28</f>
        <v>9.6260979999999989</v>
      </c>
      <c r="AJ28" s="23">
        <v>0.224</v>
      </c>
      <c r="AK28" s="23">
        <f>(AI28-AI$50)/AI$51</f>
        <v>0.28637478446583386</v>
      </c>
      <c r="AL28">
        <v>21</v>
      </c>
      <c r="AM28">
        <v>9</v>
      </c>
      <c r="AN28">
        <f t="shared" si="2"/>
        <v>12</v>
      </c>
      <c r="AO28" s="23">
        <v>1.1910000000000001</v>
      </c>
      <c r="AP28" s="23">
        <v>0.61099999999999999</v>
      </c>
      <c r="AQ28" s="23">
        <f>(0.6*AK28)+(0.4*AO28)</f>
        <v>0.64822487067950041</v>
      </c>
      <c r="AR28" s="34">
        <v>0</v>
      </c>
      <c r="AS28" s="77">
        <v>0</v>
      </c>
      <c r="AT28">
        <v>9295</v>
      </c>
      <c r="AU28" s="34">
        <v>10339.709999999999</v>
      </c>
      <c r="AV28">
        <f>AR28-AT28</f>
        <v>-9295</v>
      </c>
      <c r="AW28" s="34">
        <f t="shared" si="4"/>
        <v>-10339.709999999999</v>
      </c>
      <c r="AX28" s="23">
        <v>-0.14699999999999999</v>
      </c>
      <c r="AY28" s="23">
        <f>(AW28-AW$50)/AW$51</f>
        <v>-0.1914564322547111</v>
      </c>
    </row>
    <row r="29" spans="1:51" x14ac:dyDescent="0.25">
      <c r="A29" s="9" t="s">
        <v>106</v>
      </c>
      <c r="B29" s="9" t="s">
        <v>110</v>
      </c>
      <c r="C29" s="32">
        <f t="shared" si="0"/>
        <v>2</v>
      </c>
      <c r="D29" s="8">
        <v>0</v>
      </c>
      <c r="E29" s="8">
        <v>2</v>
      </c>
      <c r="F29">
        <v>0</v>
      </c>
      <c r="I29" s="69"/>
      <c r="J29" s="48"/>
      <c r="K29" s="69"/>
      <c r="L29" s="69"/>
      <c r="M29" s="48"/>
      <c r="N29" s="48"/>
      <c r="O29" s="48"/>
      <c r="P29" s="26"/>
      <c r="Q29" s="40"/>
      <c r="R29" s="23"/>
      <c r="S29" s="40"/>
      <c r="T29" s="40"/>
      <c r="X29" s="23"/>
      <c r="AR29" s="34"/>
      <c r="AS29" s="77">
        <v>0</v>
      </c>
      <c r="AY29" s="23"/>
    </row>
    <row r="30" spans="1:51" x14ac:dyDescent="0.25">
      <c r="A30" s="7" t="s">
        <v>111</v>
      </c>
      <c r="B30" s="7" t="s">
        <v>100</v>
      </c>
      <c r="C30" s="10">
        <f t="shared" si="0"/>
        <v>98</v>
      </c>
      <c r="D30" s="8">
        <v>79</v>
      </c>
      <c r="E30" s="8">
        <v>19</v>
      </c>
      <c r="F30" s="8">
        <v>0</v>
      </c>
      <c r="G30" s="26">
        <v>-0.153</v>
      </c>
      <c r="H30" s="26">
        <f t="shared" ref="H30:H38" si="5">(0.6*AQ30)+(0.4*AY30)</f>
        <v>-0.2409097067103978</v>
      </c>
      <c r="I30" s="69"/>
      <c r="J30" s="48"/>
      <c r="K30" s="69"/>
      <c r="L30" s="69"/>
      <c r="M30" s="48"/>
      <c r="N30" s="48"/>
      <c r="O30" s="48"/>
      <c r="P30" s="26"/>
      <c r="Q30" s="40"/>
      <c r="R30" s="23"/>
      <c r="S30" s="40"/>
      <c r="T30" s="40"/>
      <c r="X30" s="23"/>
      <c r="AC30">
        <v>48</v>
      </c>
      <c r="AD30">
        <v>47</v>
      </c>
      <c r="AE30">
        <f t="shared" ref="AE30:AE38" si="6">AC30-AD30</f>
        <v>1</v>
      </c>
      <c r="AF30">
        <v>67</v>
      </c>
      <c r="AG30" s="119">
        <v>68.849739</v>
      </c>
      <c r="AH30">
        <f t="shared" si="1"/>
        <v>-19</v>
      </c>
      <c r="AI30" s="119">
        <f t="shared" ref="AI30:AI38" si="7">AD30-AG30</f>
        <v>-21.849739</v>
      </c>
      <c r="AJ30" s="23">
        <v>-0.90600000000000003</v>
      </c>
      <c r="AK30" s="23">
        <f t="shared" ref="AK30:AK38" si="8">(AI30-AI$50)/AI$51</f>
        <v>-1.1168811955397695</v>
      </c>
      <c r="AL30">
        <v>38</v>
      </c>
      <c r="AM30">
        <v>31</v>
      </c>
      <c r="AN30">
        <f t="shared" si="2"/>
        <v>7</v>
      </c>
      <c r="AO30" s="23">
        <v>-0.78</v>
      </c>
      <c r="AP30" s="23">
        <v>-0.85599999999999998</v>
      </c>
      <c r="AQ30" s="23">
        <f t="shared" ref="AQ30:AQ38" si="9">(0.6*AK30)+(0.4*AO30)</f>
        <v>-0.98212871732386176</v>
      </c>
      <c r="AR30" s="34">
        <v>126921</v>
      </c>
      <c r="AS30" s="77">
        <v>126921</v>
      </c>
      <c r="AT30">
        <v>75723</v>
      </c>
      <c r="AU30" s="34">
        <v>76265.486600000004</v>
      </c>
      <c r="AV30">
        <f t="shared" ref="AV30:AV38" si="10">AR30-AT30</f>
        <v>51198</v>
      </c>
      <c r="AW30" s="34">
        <f t="shared" si="4"/>
        <v>50655.513399999996</v>
      </c>
      <c r="AX30" s="23">
        <v>0.90100000000000002</v>
      </c>
      <c r="AY30" s="23">
        <f t="shared" ref="AY30:AY38" si="11">(AW30-AW$50)/AW$51</f>
        <v>0.87091880920979792</v>
      </c>
    </row>
    <row r="31" spans="1:51" x14ac:dyDescent="0.25">
      <c r="A31" s="9" t="s">
        <v>111</v>
      </c>
      <c r="B31" s="9" t="s">
        <v>107</v>
      </c>
      <c r="C31" s="10">
        <v>7</v>
      </c>
      <c r="D31" s="8">
        <v>7</v>
      </c>
      <c r="E31" s="8">
        <v>0</v>
      </c>
      <c r="F31" s="8">
        <v>15</v>
      </c>
      <c r="G31" s="26">
        <v>-8.6999999999999994E-2</v>
      </c>
      <c r="H31" s="26">
        <f t="shared" si="5"/>
        <v>-8.9605186197217329E-2</v>
      </c>
      <c r="I31" s="70"/>
      <c r="J31" s="48" t="e">
        <f>C30*N31</f>
        <v>#REF!</v>
      </c>
      <c r="K31" s="69"/>
      <c r="L31" s="69"/>
      <c r="M31" s="48"/>
      <c r="N31" s="48" t="e">
        <f>#REF!/AA2</f>
        <v>#REF!</v>
      </c>
      <c r="O31" s="48"/>
      <c r="P31" s="26"/>
      <c r="Q31" s="40" t="e">
        <f>(0.6*T31)+(0.4*#REF!)</f>
        <v>#REF!</v>
      </c>
      <c r="R31" s="23">
        <v>1.0129999999999999</v>
      </c>
      <c r="S31" s="40">
        <f>R31/F31</f>
        <v>6.753333333333332E-2</v>
      </c>
      <c r="T31" s="40">
        <f>S31/S50</f>
        <v>4.3527461739269586E-2</v>
      </c>
      <c r="X31" s="23"/>
      <c r="AC31">
        <v>4</v>
      </c>
      <c r="AD31">
        <v>4</v>
      </c>
      <c r="AE31">
        <f t="shared" si="6"/>
        <v>0</v>
      </c>
      <c r="AF31">
        <v>5</v>
      </c>
      <c r="AG31" s="119">
        <v>4.9178389999999998</v>
      </c>
      <c r="AH31">
        <f t="shared" si="1"/>
        <v>-1</v>
      </c>
      <c r="AI31" s="119">
        <f t="shared" si="7"/>
        <v>-0.91783899999999985</v>
      </c>
      <c r="AJ31" s="23">
        <v>-0.20499999999999999</v>
      </c>
      <c r="AK31" s="23">
        <f t="shared" si="8"/>
        <v>-0.18369508684695568</v>
      </c>
      <c r="AL31">
        <v>16</v>
      </c>
      <c r="AM31">
        <v>2</v>
      </c>
      <c r="AN31">
        <f t="shared" si="2"/>
        <v>14</v>
      </c>
      <c r="AO31" s="23">
        <v>-5.3999999999999999E-2</v>
      </c>
      <c r="AP31" s="23">
        <v>-0.14399999999999999</v>
      </c>
      <c r="AQ31" s="23">
        <f t="shared" si="9"/>
        <v>-0.1318170521081734</v>
      </c>
      <c r="AR31" s="34">
        <v>0</v>
      </c>
      <c r="AS31" s="77">
        <v>0</v>
      </c>
      <c r="AT31">
        <v>803</v>
      </c>
      <c r="AU31" s="34">
        <v>856.69269999999995</v>
      </c>
      <c r="AV31">
        <f t="shared" si="10"/>
        <v>-803</v>
      </c>
      <c r="AW31" s="34">
        <f t="shared" si="4"/>
        <v>-856.69269999999995</v>
      </c>
      <c r="AX31" s="23">
        <v>0</v>
      </c>
      <c r="AY31" s="23">
        <f t="shared" si="11"/>
        <v>-2.6287387330783209E-2</v>
      </c>
    </row>
    <row r="32" spans="1:51" x14ac:dyDescent="0.25">
      <c r="A32" s="9" t="s">
        <v>114</v>
      </c>
      <c r="B32" s="9" t="s">
        <v>116</v>
      </c>
      <c r="C32" s="10">
        <v>5</v>
      </c>
      <c r="D32" s="15">
        <v>5</v>
      </c>
      <c r="E32" s="15">
        <v>0</v>
      </c>
      <c r="F32">
        <v>8</v>
      </c>
      <c r="G32" s="26">
        <v>-0.109</v>
      </c>
      <c r="H32" s="26">
        <f t="shared" si="5"/>
        <v>-0.1211587557016168</v>
      </c>
      <c r="I32" s="70"/>
      <c r="J32" s="48"/>
      <c r="K32" s="69"/>
      <c r="L32" s="69"/>
      <c r="M32" s="48"/>
      <c r="N32" s="48"/>
      <c r="O32" s="48"/>
      <c r="P32" s="26"/>
      <c r="Q32" s="40"/>
      <c r="R32" s="23"/>
      <c r="S32" s="40"/>
      <c r="T32" s="40"/>
      <c r="X32" s="23"/>
      <c r="AC32">
        <v>2</v>
      </c>
      <c r="AD32">
        <v>2</v>
      </c>
      <c r="AE32">
        <f t="shared" si="6"/>
        <v>0</v>
      </c>
      <c r="AF32">
        <v>3</v>
      </c>
      <c r="AG32" s="119">
        <v>3.5127419999999998</v>
      </c>
      <c r="AH32">
        <f t="shared" si="1"/>
        <v>-1</v>
      </c>
      <c r="AI32" s="119">
        <f t="shared" si="7"/>
        <v>-1.5127419999999998</v>
      </c>
      <c r="AJ32" s="23">
        <v>-0.20499999999999999</v>
      </c>
      <c r="AK32" s="23">
        <f t="shared" si="8"/>
        <v>-0.21021705645409508</v>
      </c>
      <c r="AL32">
        <v>0</v>
      </c>
      <c r="AM32">
        <v>2</v>
      </c>
      <c r="AN32">
        <f t="shared" si="2"/>
        <v>-2</v>
      </c>
      <c r="AO32" s="23">
        <v>-0.157</v>
      </c>
      <c r="AP32" s="23">
        <v>-0.186</v>
      </c>
      <c r="AQ32" s="23">
        <f t="shared" si="9"/>
        <v>-0.18893023387245705</v>
      </c>
      <c r="AR32" s="34">
        <v>0</v>
      </c>
      <c r="AS32" s="77">
        <v>0</v>
      </c>
      <c r="AT32">
        <v>450</v>
      </c>
      <c r="AU32" s="34">
        <v>467.0899</v>
      </c>
      <c r="AV32">
        <f t="shared" si="10"/>
        <v>-450</v>
      </c>
      <c r="AW32" s="34">
        <f t="shared" si="4"/>
        <v>-467.0899</v>
      </c>
      <c r="AX32" s="23">
        <v>6.0000000000000001E-3</v>
      </c>
      <c r="AY32" s="23">
        <f t="shared" si="11"/>
        <v>-1.950153844535641E-2</v>
      </c>
    </row>
    <row r="33" spans="1:51" x14ac:dyDescent="0.25">
      <c r="A33" s="7" t="s">
        <v>114</v>
      </c>
      <c r="B33" s="7" t="s">
        <v>100</v>
      </c>
      <c r="C33" s="10">
        <v>187</v>
      </c>
      <c r="D33" s="20">
        <v>153</v>
      </c>
      <c r="E33" s="20">
        <v>34</v>
      </c>
      <c r="F33">
        <v>19</v>
      </c>
      <c r="G33" s="26">
        <v>-1.403</v>
      </c>
      <c r="H33" s="26">
        <f t="shared" si="5"/>
        <v>-1.2177418034592664</v>
      </c>
      <c r="I33" s="69"/>
      <c r="J33" s="48"/>
      <c r="K33" s="69"/>
      <c r="L33" s="69"/>
      <c r="M33" s="48"/>
      <c r="N33" s="48"/>
      <c r="O33" s="48"/>
      <c r="P33" s="26"/>
      <c r="Q33" s="40" t="e">
        <f>(0.6*T33)+(0.4*#REF!)</f>
        <v>#REF!</v>
      </c>
      <c r="R33" s="23">
        <v>1.1919999999999999</v>
      </c>
      <c r="S33" s="40">
        <f>R33/F33</f>
        <v>6.273684210526316E-2</v>
      </c>
      <c r="T33" s="40">
        <f>S33/S50</f>
        <v>4.0435964872351036E-2</v>
      </c>
      <c r="X33" s="23"/>
      <c r="AC33">
        <v>167</v>
      </c>
      <c r="AD33">
        <v>168</v>
      </c>
      <c r="AE33">
        <f t="shared" si="6"/>
        <v>-1</v>
      </c>
      <c r="AF33">
        <v>127</v>
      </c>
      <c r="AG33" s="119">
        <v>131.376543</v>
      </c>
      <c r="AH33">
        <f t="shared" si="1"/>
        <v>40</v>
      </c>
      <c r="AI33" s="119">
        <f t="shared" si="7"/>
        <v>36.623457000000002</v>
      </c>
      <c r="AJ33" s="23">
        <v>1.3919999999999999</v>
      </c>
      <c r="AK33" s="23">
        <f t="shared" si="8"/>
        <v>1.4899712277028512</v>
      </c>
      <c r="AL33">
        <v>53</v>
      </c>
      <c r="AM33">
        <v>59</v>
      </c>
      <c r="AN33">
        <f t="shared" si="2"/>
        <v>-6</v>
      </c>
      <c r="AO33" s="23">
        <v>-1.298</v>
      </c>
      <c r="AP33" s="23">
        <v>0.316</v>
      </c>
      <c r="AQ33" s="23">
        <f t="shared" si="9"/>
        <v>0.37478273662171069</v>
      </c>
      <c r="AR33" s="34">
        <v>0</v>
      </c>
      <c r="AS33" s="77">
        <v>0</v>
      </c>
      <c r="AT33">
        <v>230473</v>
      </c>
      <c r="AU33" s="34">
        <v>206412.70050000001</v>
      </c>
      <c r="AV33">
        <f t="shared" si="10"/>
        <v>-230473</v>
      </c>
      <c r="AW33" s="34">
        <f t="shared" si="4"/>
        <v>-206412.70050000001</v>
      </c>
      <c r="AX33" s="23">
        <v>-3.98</v>
      </c>
      <c r="AY33" s="23">
        <f t="shared" si="11"/>
        <v>-3.6065286135807315</v>
      </c>
    </row>
    <row r="34" spans="1:51" x14ac:dyDescent="0.25">
      <c r="A34" s="7" t="s">
        <v>114</v>
      </c>
      <c r="B34" s="7" t="s">
        <v>117</v>
      </c>
      <c r="C34" s="10">
        <v>10</v>
      </c>
      <c r="D34" s="15">
        <v>11</v>
      </c>
      <c r="E34" s="15">
        <v>0</v>
      </c>
      <c r="F34" s="28">
        <v>1</v>
      </c>
      <c r="G34" s="25">
        <v>0.51800000000000002</v>
      </c>
      <c r="H34" s="25">
        <f t="shared" si="5"/>
        <v>0.51541429629860391</v>
      </c>
      <c r="I34" s="68">
        <f>M34*Z$6</f>
        <v>59984.877500946764</v>
      </c>
      <c r="J34" s="48"/>
      <c r="K34" s="37">
        <f>O34*Z$2</f>
        <v>3593.1749849936355</v>
      </c>
      <c r="L34" s="37">
        <f>K34-I34</f>
        <v>-56391.702515953126</v>
      </c>
      <c r="M34" s="48">
        <f>C33*P34</f>
        <v>16.698155490432683</v>
      </c>
      <c r="N34" s="48"/>
      <c r="O34" s="40">
        <f>C34*X34</f>
        <v>0.8763361892279774</v>
      </c>
      <c r="P34" s="26">
        <f>G34/AA$3</f>
        <v>8.9294949146698846E-2</v>
      </c>
      <c r="Q34" s="40"/>
      <c r="R34" s="23"/>
      <c r="S34" s="40"/>
      <c r="T34" s="40"/>
      <c r="X34" s="23">
        <f>H34/AB$3</f>
        <v>8.7633618922797737E-2</v>
      </c>
      <c r="AC34">
        <v>13</v>
      </c>
      <c r="AD34">
        <v>13</v>
      </c>
      <c r="AE34">
        <f t="shared" si="6"/>
        <v>0</v>
      </c>
      <c r="AF34">
        <v>7</v>
      </c>
      <c r="AG34" s="119">
        <v>7.7280319999999998</v>
      </c>
      <c r="AH34">
        <f t="shared" si="1"/>
        <v>6</v>
      </c>
      <c r="AI34" s="119">
        <f t="shared" si="7"/>
        <v>5.2719680000000002</v>
      </c>
      <c r="AJ34" s="23">
        <v>6.8000000000000005E-2</v>
      </c>
      <c r="AK34" s="23">
        <f t="shared" si="8"/>
        <v>9.2258931082116205E-2</v>
      </c>
      <c r="AL34">
        <v>3</v>
      </c>
      <c r="AM34">
        <v>3</v>
      </c>
      <c r="AN34">
        <f t="shared" si="2"/>
        <v>0</v>
      </c>
      <c r="AO34" s="23">
        <v>1.917</v>
      </c>
      <c r="AP34" s="23">
        <v>0.80800000000000005</v>
      </c>
      <c r="AQ34" s="23">
        <f t="shared" si="9"/>
        <v>0.82215535864926981</v>
      </c>
      <c r="AR34" s="34">
        <v>5746</v>
      </c>
      <c r="AS34" s="77">
        <v>5746</v>
      </c>
      <c r="AT34">
        <v>1750</v>
      </c>
      <c r="AU34" s="34">
        <v>1918.2783999999999</v>
      </c>
      <c r="AV34">
        <f t="shared" si="10"/>
        <v>3996</v>
      </c>
      <c r="AW34" s="34">
        <f t="shared" si="4"/>
        <v>3827.7215999999999</v>
      </c>
      <c r="AX34" s="23">
        <v>8.3000000000000004E-2</v>
      </c>
      <c r="AY34" s="23">
        <f t="shared" si="11"/>
        <v>5.53027027726051E-2</v>
      </c>
    </row>
    <row r="35" spans="1:51" x14ac:dyDescent="0.25">
      <c r="A35" s="7" t="s">
        <v>118</v>
      </c>
      <c r="B35" s="7" t="s">
        <v>100</v>
      </c>
      <c r="C35" s="10">
        <v>74</v>
      </c>
      <c r="D35" s="8">
        <v>56</v>
      </c>
      <c r="E35" s="8">
        <v>18</v>
      </c>
      <c r="F35" s="8">
        <v>19</v>
      </c>
      <c r="G35" s="25">
        <v>0.51300000000000001</v>
      </c>
      <c r="H35" s="25">
        <f t="shared" si="5"/>
        <v>0.60063504851905414</v>
      </c>
      <c r="I35" s="68">
        <f>M35*Z$6</f>
        <v>23508.206385015808</v>
      </c>
      <c r="J35" s="48"/>
      <c r="K35" s="37">
        <f>O35*Z$2</f>
        <v>30985.913016799313</v>
      </c>
      <c r="L35" s="37">
        <f>K35-I35</f>
        <v>7477.7066317835051</v>
      </c>
      <c r="M35" s="48">
        <f>C35*P35</f>
        <v>6.5440441303223587</v>
      </c>
      <c r="N35" s="48"/>
      <c r="O35" s="40">
        <f>C35*X35</f>
        <v>7.5571262313403835</v>
      </c>
      <c r="P35" s="26">
        <f>G35/AA$3</f>
        <v>8.8433028788139981E-2</v>
      </c>
      <c r="Q35" s="40" t="e">
        <f>(0.6*T35)+(0.4*#REF!)</f>
        <v>#REF!</v>
      </c>
      <c r="R35" s="23">
        <v>0.54700000000000004</v>
      </c>
      <c r="S35" s="40">
        <f>R35/F35</f>
        <v>2.8789473684210528E-2</v>
      </c>
      <c r="T35" s="40">
        <f>S35/S50</f>
        <v>1.8555765759375852E-2</v>
      </c>
      <c r="X35" s="23">
        <f>H35/AB$3</f>
        <v>0.10212332745054573</v>
      </c>
      <c r="AC35">
        <v>102</v>
      </c>
      <c r="AD35">
        <v>104</v>
      </c>
      <c r="AE35">
        <f t="shared" si="6"/>
        <v>-2</v>
      </c>
      <c r="AF35">
        <v>50</v>
      </c>
      <c r="AG35" s="119">
        <v>51.988579000000001</v>
      </c>
      <c r="AH35">
        <f t="shared" si="1"/>
        <v>52</v>
      </c>
      <c r="AI35" s="119">
        <f t="shared" si="7"/>
        <v>52.011420999999999</v>
      </c>
      <c r="AJ35" s="23">
        <v>1.86</v>
      </c>
      <c r="AK35" s="23">
        <f t="shared" si="8"/>
        <v>2.1759975437976684</v>
      </c>
      <c r="AL35">
        <v>24</v>
      </c>
      <c r="AM35">
        <v>23</v>
      </c>
      <c r="AN35">
        <f t="shared" si="2"/>
        <v>1</v>
      </c>
      <c r="AO35" s="23">
        <v>0.67300000000000004</v>
      </c>
      <c r="AP35" s="23">
        <v>1.385</v>
      </c>
      <c r="AQ35" s="23">
        <f t="shared" si="9"/>
        <v>1.5747985262786011</v>
      </c>
      <c r="AR35" s="34">
        <v>0</v>
      </c>
      <c r="AS35" s="77">
        <v>0</v>
      </c>
      <c r="AT35">
        <v>46674</v>
      </c>
      <c r="AU35" s="34">
        <v>48758.509700000002</v>
      </c>
      <c r="AV35">
        <f t="shared" si="10"/>
        <v>-46674</v>
      </c>
      <c r="AW35" s="34">
        <f t="shared" si="4"/>
        <v>-48758.509700000002</v>
      </c>
      <c r="AX35" s="23">
        <v>-0.79500000000000004</v>
      </c>
      <c r="AY35" s="23">
        <f t="shared" si="11"/>
        <v>-0.86061016812026603</v>
      </c>
    </row>
    <row r="36" spans="1:51" x14ac:dyDescent="0.25">
      <c r="A36" s="7" t="s">
        <v>118</v>
      </c>
      <c r="B36" s="7" t="s">
        <v>123</v>
      </c>
      <c r="C36" s="10">
        <f t="shared" si="0"/>
        <v>19</v>
      </c>
      <c r="D36" s="8">
        <v>13</v>
      </c>
      <c r="E36" s="8">
        <v>6</v>
      </c>
      <c r="F36" s="8">
        <v>0</v>
      </c>
      <c r="G36" s="25">
        <v>0.39</v>
      </c>
      <c r="H36" s="25">
        <f t="shared" si="5"/>
        <v>0.40842752135782223</v>
      </c>
      <c r="I36" s="68">
        <f>M36*Z$6</f>
        <v>4588.6889340120952</v>
      </c>
      <c r="J36" s="48" t="e">
        <f>C36*N36</f>
        <v>#REF!</v>
      </c>
      <c r="K36" s="37">
        <f>O36*Z$2</f>
        <v>5409.9158106079221</v>
      </c>
      <c r="L36" s="37">
        <f>K36-I36</f>
        <v>821.22687659582698</v>
      </c>
      <c r="M36" s="48">
        <f>C36*P36</f>
        <v>1.2773659713842442</v>
      </c>
      <c r="N36" s="48" t="e">
        <f>#REF!/AA2</f>
        <v>#REF!</v>
      </c>
      <c r="O36" s="40">
        <f>C36*X36</f>
        <v>1.319419461983349</v>
      </c>
      <c r="P36" s="26">
        <f>G36/AA$3</f>
        <v>6.7229787967591798E-2</v>
      </c>
      <c r="Q36" s="40"/>
      <c r="R36" s="23"/>
      <c r="S36" s="40"/>
      <c r="T36" s="40"/>
      <c r="X36" s="23">
        <f>H36/AB$3</f>
        <v>6.9443129578071E-2</v>
      </c>
      <c r="AC36">
        <v>27</v>
      </c>
      <c r="AD36">
        <v>27</v>
      </c>
      <c r="AE36">
        <f t="shared" si="6"/>
        <v>0</v>
      </c>
      <c r="AF36">
        <v>13</v>
      </c>
      <c r="AG36" s="119">
        <v>13.348419</v>
      </c>
      <c r="AH36">
        <f t="shared" si="1"/>
        <v>14</v>
      </c>
      <c r="AI36" s="119">
        <f t="shared" si="7"/>
        <v>13.651581</v>
      </c>
      <c r="AJ36" s="23">
        <v>0.38</v>
      </c>
      <c r="AK36" s="23">
        <f t="shared" si="8"/>
        <v>0.46583889505202414</v>
      </c>
      <c r="AL36">
        <v>13</v>
      </c>
      <c r="AM36">
        <v>6</v>
      </c>
      <c r="AN36">
        <f t="shared" si="2"/>
        <v>7</v>
      </c>
      <c r="AO36" s="23">
        <v>0.05</v>
      </c>
      <c r="AP36" s="23">
        <v>0.248</v>
      </c>
      <c r="AQ36" s="23">
        <f t="shared" si="9"/>
        <v>0.29950333703121451</v>
      </c>
      <c r="AR36" s="34">
        <v>38484</v>
      </c>
      <c r="AS36" s="77">
        <v>38484</v>
      </c>
      <c r="AT36">
        <v>4486</v>
      </c>
      <c r="AU36" s="34">
        <v>5001.3049000000001</v>
      </c>
      <c r="AV36">
        <f t="shared" si="10"/>
        <v>33998</v>
      </c>
      <c r="AW36" s="34">
        <f t="shared" si="4"/>
        <v>33482.695099999997</v>
      </c>
      <c r="AX36" s="23">
        <v>0.60299999999999998</v>
      </c>
      <c r="AY36" s="23">
        <f t="shared" si="11"/>
        <v>0.57181379784773378</v>
      </c>
    </row>
    <row r="37" spans="1:51" x14ac:dyDescent="0.25">
      <c r="A37" s="9" t="s">
        <v>118</v>
      </c>
      <c r="B37" s="9" t="s">
        <v>124</v>
      </c>
      <c r="C37" s="10">
        <f t="shared" si="0"/>
        <v>5</v>
      </c>
      <c r="D37" s="8">
        <v>5</v>
      </c>
      <c r="E37" s="8">
        <v>0</v>
      </c>
      <c r="F37" s="8">
        <v>0</v>
      </c>
      <c r="G37" s="25">
        <v>0.157</v>
      </c>
      <c r="H37" s="25">
        <f t="shared" si="5"/>
        <v>0.15090981167106504</v>
      </c>
      <c r="I37" s="68">
        <f>M37*Z$6</f>
        <v>486.11616912273877</v>
      </c>
      <c r="J37" s="48" t="e">
        <f>C37*N37</f>
        <v>#REF!</v>
      </c>
      <c r="K37" s="37">
        <f>O37*Z$2</f>
        <v>526.02863771984221</v>
      </c>
      <c r="L37" s="37">
        <f>K37-I37</f>
        <v>39.912468597103441</v>
      </c>
      <c r="M37" s="48">
        <f>C37*P37</f>
        <v>0.13532149629374246</v>
      </c>
      <c r="N37" s="48" t="e">
        <f>#REF!/AA2</f>
        <v>#REF!</v>
      </c>
      <c r="O37" s="40">
        <f>C37*X37</f>
        <v>0.12829264751352135</v>
      </c>
      <c r="P37" s="26">
        <f>G37/AA$3</f>
        <v>2.7064299258748491E-2</v>
      </c>
      <c r="Q37" s="40"/>
      <c r="R37" s="23"/>
      <c r="S37" s="40"/>
      <c r="T37" s="40"/>
      <c r="X37" s="23">
        <f>H37/AB$3</f>
        <v>2.565852950270427E-2</v>
      </c>
      <c r="AC37">
        <v>5</v>
      </c>
      <c r="AD37">
        <v>5</v>
      </c>
      <c r="AE37">
        <f t="shared" si="6"/>
        <v>0</v>
      </c>
      <c r="AF37">
        <v>3</v>
      </c>
      <c r="AG37" s="119">
        <v>3.5127419999999998</v>
      </c>
      <c r="AH37">
        <f t="shared" si="1"/>
        <v>2</v>
      </c>
      <c r="AI37" s="119">
        <f t="shared" si="7"/>
        <v>1.4872580000000002</v>
      </c>
      <c r="AJ37" s="23">
        <v>-8.7999999999999995E-2</v>
      </c>
      <c r="AK37" s="23">
        <f t="shared" si="8"/>
        <v>-7.6471035974423313E-2</v>
      </c>
      <c r="AL37">
        <v>8</v>
      </c>
      <c r="AM37">
        <v>2</v>
      </c>
      <c r="AN37">
        <f t="shared" si="2"/>
        <v>6</v>
      </c>
      <c r="AO37" s="23">
        <v>0.77600000000000002</v>
      </c>
      <c r="AP37" s="23">
        <v>0.25800000000000001</v>
      </c>
      <c r="AQ37" s="23">
        <f t="shared" si="9"/>
        <v>0.26451737841534601</v>
      </c>
      <c r="AR37" s="34">
        <v>0</v>
      </c>
      <c r="AS37" s="77">
        <v>0</v>
      </c>
      <c r="AT37">
        <v>450</v>
      </c>
      <c r="AU37" s="34">
        <v>467.0899</v>
      </c>
      <c r="AV37">
        <f t="shared" si="10"/>
        <v>-450</v>
      </c>
      <c r="AW37" s="34">
        <f t="shared" si="4"/>
        <v>-467.0899</v>
      </c>
      <c r="AX37" s="23">
        <v>6.0000000000000001E-3</v>
      </c>
      <c r="AY37" s="23">
        <f t="shared" si="11"/>
        <v>-1.950153844535641E-2</v>
      </c>
    </row>
    <row r="38" spans="1:51" x14ac:dyDescent="0.25">
      <c r="A38" s="9" t="s">
        <v>118</v>
      </c>
      <c r="B38" s="9" t="s">
        <v>145</v>
      </c>
      <c r="C38" s="10">
        <f t="shared" si="0"/>
        <v>15</v>
      </c>
      <c r="D38" s="8">
        <v>15</v>
      </c>
      <c r="E38" s="8">
        <v>0</v>
      </c>
      <c r="F38" s="8">
        <v>0</v>
      </c>
      <c r="G38" s="26">
        <v>-0.28499999999999998</v>
      </c>
      <c r="H38" s="26">
        <f t="shared" si="5"/>
        <v>-0.31232868628337812</v>
      </c>
      <c r="I38" s="69"/>
      <c r="J38" s="48"/>
      <c r="K38" s="69"/>
      <c r="L38" s="69"/>
      <c r="M38" s="48"/>
      <c r="N38" s="48"/>
      <c r="O38" s="48"/>
      <c r="P38" s="26"/>
      <c r="Q38" s="40"/>
      <c r="R38" s="23"/>
      <c r="S38" s="40"/>
      <c r="T38" s="40"/>
      <c r="X38" s="23"/>
      <c r="AC38">
        <v>3</v>
      </c>
      <c r="AD38">
        <v>3</v>
      </c>
      <c r="AE38">
        <f t="shared" si="6"/>
        <v>0</v>
      </c>
      <c r="AF38">
        <v>10</v>
      </c>
      <c r="AG38" s="119">
        <v>10.538225000000001</v>
      </c>
      <c r="AH38">
        <f t="shared" si="1"/>
        <v>-7</v>
      </c>
      <c r="AI38" s="119">
        <f t="shared" si="7"/>
        <v>-7.5382250000000006</v>
      </c>
      <c r="AJ38" s="23">
        <v>-0.439</v>
      </c>
      <c r="AK38" s="23">
        <f t="shared" si="8"/>
        <v>-0.47884518069339987</v>
      </c>
      <c r="AL38">
        <v>0</v>
      </c>
      <c r="AM38">
        <v>5</v>
      </c>
      <c r="AN38">
        <f t="shared" si="2"/>
        <v>-5</v>
      </c>
      <c r="AO38" s="23">
        <v>-0.46800000000000003</v>
      </c>
      <c r="AP38" s="23">
        <v>-0.45100000000000001</v>
      </c>
      <c r="AQ38" s="23">
        <f t="shared" si="9"/>
        <v>-0.47450710841603994</v>
      </c>
      <c r="AR38" s="34">
        <v>0</v>
      </c>
      <c r="AS38" s="77">
        <v>0</v>
      </c>
      <c r="AT38">
        <v>2986</v>
      </c>
      <c r="AU38" s="34">
        <v>3312.5003999999999</v>
      </c>
      <c r="AV38">
        <f t="shared" si="10"/>
        <v>-2986</v>
      </c>
      <c r="AW38" s="34">
        <f t="shared" si="4"/>
        <v>-3312.5003999999999</v>
      </c>
      <c r="AX38" s="23">
        <v>-3.7999999999999999E-2</v>
      </c>
      <c r="AY38" s="23">
        <f t="shared" si="11"/>
        <v>-6.9061053084385496E-2</v>
      </c>
    </row>
    <row r="39" spans="1:51" x14ac:dyDescent="0.25">
      <c r="A39" s="7" t="s">
        <v>125</v>
      </c>
      <c r="B39" s="7" t="s">
        <v>126</v>
      </c>
      <c r="C39" s="32">
        <f t="shared" si="0"/>
        <v>31</v>
      </c>
      <c r="D39">
        <v>0</v>
      </c>
      <c r="E39">
        <v>0</v>
      </c>
      <c r="F39" s="8">
        <v>31</v>
      </c>
      <c r="G39" s="23"/>
      <c r="H39" s="23"/>
      <c r="I39" s="69"/>
      <c r="J39" s="48"/>
      <c r="K39" s="69"/>
      <c r="L39" s="69"/>
      <c r="M39" s="48"/>
      <c r="N39" s="48"/>
      <c r="O39" s="48"/>
      <c r="P39" s="26"/>
      <c r="Q39" s="40" t="e">
        <f>(0.6*T39)+(0.4*#REF!)</f>
        <v>#REF!</v>
      </c>
      <c r="R39" s="23">
        <v>19.085000000000001</v>
      </c>
      <c r="S39" s="48">
        <f>R39/(F39+F40+F41)</f>
        <v>0.17836448598130841</v>
      </c>
      <c r="T39" s="40">
        <f>S39/S50</f>
        <v>0.1149617967304426</v>
      </c>
      <c r="X39" s="23"/>
      <c r="AR39" s="34"/>
      <c r="AS39" s="77">
        <v>0</v>
      </c>
      <c r="AY39" s="23"/>
    </row>
    <row r="40" spans="1:51" x14ac:dyDescent="0.25">
      <c r="A40" s="9" t="s">
        <v>125</v>
      </c>
      <c r="B40" s="9" t="s">
        <v>127</v>
      </c>
      <c r="C40" s="32">
        <f t="shared" si="0"/>
        <v>32</v>
      </c>
      <c r="D40">
        <v>0</v>
      </c>
      <c r="E40">
        <v>0</v>
      </c>
      <c r="F40" s="8">
        <v>32</v>
      </c>
      <c r="G40" s="23"/>
      <c r="H40" s="23"/>
      <c r="I40" s="69"/>
      <c r="J40" s="48"/>
      <c r="K40" s="69"/>
      <c r="L40" s="69"/>
      <c r="M40" s="48"/>
      <c r="N40" s="48"/>
      <c r="O40" s="48"/>
      <c r="P40" s="26"/>
      <c r="Q40" s="40"/>
      <c r="R40" s="23"/>
      <c r="S40" s="40"/>
      <c r="T40" s="40"/>
      <c r="X40" s="23"/>
      <c r="AR40" s="34"/>
      <c r="AS40" s="77">
        <v>0</v>
      </c>
      <c r="AY40" s="23"/>
    </row>
    <row r="41" spans="1:51" x14ac:dyDescent="0.25">
      <c r="A41" s="7" t="s">
        <v>125</v>
      </c>
      <c r="B41" s="7" t="s">
        <v>128</v>
      </c>
      <c r="C41" s="32">
        <f t="shared" si="0"/>
        <v>44</v>
      </c>
      <c r="D41">
        <v>0</v>
      </c>
      <c r="E41">
        <v>0</v>
      </c>
      <c r="F41" s="8">
        <v>44</v>
      </c>
      <c r="G41" s="23"/>
      <c r="H41" s="23"/>
      <c r="I41" s="69"/>
      <c r="J41" s="48"/>
      <c r="K41" s="69"/>
      <c r="L41" s="69"/>
      <c r="M41" s="48"/>
      <c r="N41" s="48"/>
      <c r="O41" s="48"/>
      <c r="P41" s="26"/>
      <c r="Q41" s="40"/>
      <c r="R41" s="23"/>
      <c r="S41" s="40"/>
      <c r="T41" s="40"/>
      <c r="X41" s="23"/>
      <c r="AR41" s="34"/>
      <c r="AS41" s="77">
        <v>0</v>
      </c>
      <c r="AY41" s="23"/>
    </row>
    <row r="42" spans="1:51" x14ac:dyDescent="0.25">
      <c r="A42" s="9" t="s">
        <v>135</v>
      </c>
      <c r="B42" s="9" t="s">
        <v>100</v>
      </c>
      <c r="C42" s="10">
        <f t="shared" si="0"/>
        <v>70</v>
      </c>
      <c r="D42" s="8">
        <v>52</v>
      </c>
      <c r="E42" s="8">
        <v>18</v>
      </c>
      <c r="F42">
        <v>0</v>
      </c>
      <c r="G42" s="26">
        <v>-0.55500000000000005</v>
      </c>
      <c r="H42" s="26">
        <f t="shared" ref="H42" si="12">(0.6*AQ42)+(0.4*AY42)</f>
        <v>-0.57036519998997881</v>
      </c>
      <c r="I42" s="70"/>
      <c r="J42" s="48" t="e">
        <f>C42*N42</f>
        <v>#REF!</v>
      </c>
      <c r="K42" s="69"/>
      <c r="L42" s="69"/>
      <c r="M42" s="48"/>
      <c r="N42" s="48" t="e">
        <f>#REF!/AA2</f>
        <v>#REF!</v>
      </c>
      <c r="O42" s="48"/>
      <c r="P42" s="26"/>
      <c r="Q42" s="40"/>
      <c r="R42" s="23"/>
      <c r="S42" s="40"/>
      <c r="T42" s="40"/>
      <c r="X42" s="23"/>
      <c r="AC42">
        <v>59</v>
      </c>
      <c r="AD42">
        <v>59</v>
      </c>
      <c r="AE42">
        <f>AC42-AD42</f>
        <v>0</v>
      </c>
      <c r="AF42">
        <v>48</v>
      </c>
      <c r="AG42" s="119">
        <v>49.178384999999999</v>
      </c>
      <c r="AH42">
        <f t="shared" si="1"/>
        <v>11</v>
      </c>
      <c r="AI42" s="119">
        <f>AD42-AG42</f>
        <v>9.8216150000000013</v>
      </c>
      <c r="AJ42" s="23">
        <v>0.26300000000000001</v>
      </c>
      <c r="AK42" s="23">
        <f>(AI42-AI$50)/AI$51</f>
        <v>0.29509132469454197</v>
      </c>
      <c r="AL42">
        <v>33</v>
      </c>
      <c r="AM42">
        <v>22</v>
      </c>
      <c r="AN42">
        <f t="shared" si="2"/>
        <v>11</v>
      </c>
      <c r="AO42" s="23">
        <v>-1.506</v>
      </c>
      <c r="AP42" s="23">
        <v>-0.44500000000000001</v>
      </c>
      <c r="AQ42" s="23">
        <f>(0.6*AK42)+(0.4*AO42)</f>
        <v>-0.4253452051832749</v>
      </c>
      <c r="AR42" s="34">
        <v>0</v>
      </c>
      <c r="AS42" s="77">
        <v>0</v>
      </c>
      <c r="AT42">
        <v>42413</v>
      </c>
      <c r="AU42" s="34">
        <v>44583.651299999998</v>
      </c>
      <c r="AV42">
        <f>AR42-AT42</f>
        <v>-42413</v>
      </c>
      <c r="AW42" s="34">
        <f t="shared" ref="AW42" si="13">AS42-AU42</f>
        <v>-44583.651299999998</v>
      </c>
      <c r="AX42" s="23">
        <v>-0.72099999999999997</v>
      </c>
      <c r="AY42" s="23">
        <f>(AW42-AW$50)/AW$51</f>
        <v>-0.78789519220003457</v>
      </c>
    </row>
    <row r="43" spans="1:51" x14ac:dyDescent="0.25">
      <c r="A43" s="7" t="s">
        <v>135</v>
      </c>
      <c r="B43" s="7" t="s">
        <v>113</v>
      </c>
      <c r="C43" s="32">
        <f t="shared" si="0"/>
        <v>2</v>
      </c>
      <c r="D43" s="8">
        <v>2</v>
      </c>
      <c r="E43" s="8">
        <v>0</v>
      </c>
      <c r="F43">
        <v>0</v>
      </c>
      <c r="G43" s="23"/>
      <c r="H43" s="23"/>
      <c r="I43" s="69"/>
      <c r="J43" s="48"/>
      <c r="K43" s="69"/>
      <c r="L43" s="69"/>
      <c r="M43" s="48"/>
      <c r="N43" s="48"/>
      <c r="O43" s="48"/>
      <c r="P43" s="26"/>
      <c r="Q43" s="40"/>
      <c r="R43" s="23"/>
      <c r="S43" s="40"/>
      <c r="T43" s="40"/>
      <c r="X43" s="23"/>
      <c r="AR43" s="34"/>
      <c r="AS43" s="77">
        <v>0</v>
      </c>
      <c r="AY43" s="23"/>
    </row>
    <row r="44" spans="1:51" x14ac:dyDescent="0.25">
      <c r="A44" s="9" t="s">
        <v>140</v>
      </c>
      <c r="B44" s="9" t="s">
        <v>107</v>
      </c>
      <c r="C44" s="10">
        <v>22</v>
      </c>
      <c r="D44">
        <v>22</v>
      </c>
      <c r="E44">
        <v>0</v>
      </c>
      <c r="F44">
        <v>9</v>
      </c>
      <c r="G44" s="26">
        <v>-0.24399999999999999</v>
      </c>
      <c r="H44" s="26">
        <f t="shared" ref="H44:H48" si="14">(0.6*AQ44)+(0.4*AY44)</f>
        <v>-0.19398809000593248</v>
      </c>
      <c r="I44" s="69"/>
      <c r="J44" s="48"/>
      <c r="K44" s="69"/>
      <c r="L44" s="69"/>
      <c r="M44" s="48"/>
      <c r="N44" s="48"/>
      <c r="O44" s="48"/>
      <c r="P44" s="26"/>
      <c r="Q44" s="40" t="e">
        <f>(0.6*T44)+(0.4*#REF!)</f>
        <v>#REF!</v>
      </c>
      <c r="R44" s="23">
        <v>1.274</v>
      </c>
      <c r="S44" s="40">
        <f>R44/F44</f>
        <v>0.14155555555555555</v>
      </c>
      <c r="T44" s="40">
        <f>S44/S50</f>
        <v>9.1237226482114936E-2</v>
      </c>
      <c r="X44" s="23"/>
      <c r="AC44">
        <v>7</v>
      </c>
      <c r="AD44">
        <v>12</v>
      </c>
      <c r="AE44">
        <f>AC44-AD44</f>
        <v>-5</v>
      </c>
      <c r="AF44">
        <v>15</v>
      </c>
      <c r="AG44" s="119">
        <v>15.456064</v>
      </c>
      <c r="AH44">
        <f t="shared" si="1"/>
        <v>-8</v>
      </c>
      <c r="AI44" s="119">
        <f>AD44-AG44</f>
        <v>-3.4560639999999996</v>
      </c>
      <c r="AJ44" s="23">
        <v>-0.47799999999999998</v>
      </c>
      <c r="AK44" s="23">
        <f>(AI44-AI$50)/AI$51</f>
        <v>-0.29685425112429403</v>
      </c>
      <c r="AL44">
        <v>7</v>
      </c>
      <c r="AM44">
        <v>7</v>
      </c>
      <c r="AN44">
        <f t="shared" si="2"/>
        <v>0</v>
      </c>
      <c r="AO44" s="23">
        <v>-0.157</v>
      </c>
      <c r="AP44" s="23">
        <v>-0.34899999999999998</v>
      </c>
      <c r="AQ44" s="23">
        <f>(0.6*AK44)+(0.4*AO44)</f>
        <v>-0.2409125506745764</v>
      </c>
      <c r="AR44" s="34">
        <v>0</v>
      </c>
      <c r="AS44" s="77">
        <v>0</v>
      </c>
      <c r="AT44">
        <v>5775</v>
      </c>
      <c r="AU44" s="34">
        <v>6443.8804</v>
      </c>
      <c r="AV44">
        <f>AR44-AT44</f>
        <v>-5775</v>
      </c>
      <c r="AW44" s="34">
        <f t="shared" ref="AW44:AW48" si="15">AS44-AU44</f>
        <v>-6443.8804</v>
      </c>
      <c r="AX44" s="23">
        <v>-8.5999999999999993E-2</v>
      </c>
      <c r="AY44" s="23">
        <f>(AW44-AW$50)/AW$51</f>
        <v>-0.12360139900296664</v>
      </c>
    </row>
    <row r="45" spans="1:51" x14ac:dyDescent="0.25">
      <c r="A45" s="7" t="s">
        <v>140</v>
      </c>
      <c r="B45" s="7" t="s">
        <v>108</v>
      </c>
      <c r="C45" s="10">
        <v>23</v>
      </c>
      <c r="D45">
        <v>23</v>
      </c>
      <c r="E45">
        <v>0</v>
      </c>
      <c r="F45" s="28">
        <v>1</v>
      </c>
      <c r="G45" s="25">
        <v>0.38500000000000001</v>
      </c>
      <c r="H45" s="25">
        <f t="shared" si="14"/>
        <v>0.3527515123446302</v>
      </c>
      <c r="I45" s="68">
        <f>M45*Z$6</f>
        <v>5483.5142389577722</v>
      </c>
      <c r="J45" s="48" t="e">
        <f>C45*N45</f>
        <v>#REF!</v>
      </c>
      <c r="K45" s="37">
        <f>O45*Z$2</f>
        <v>5656.1201621859509</v>
      </c>
      <c r="L45" s="37">
        <f>K45-I45</f>
        <v>172.60592322817865</v>
      </c>
      <c r="M45" s="48">
        <f>C45*P45</f>
        <v>1.526460955007757</v>
      </c>
      <c r="N45" s="48" t="e">
        <f>#REF!/AA2</f>
        <v>#REF!</v>
      </c>
      <c r="O45" s="40">
        <f>C45*X45</f>
        <v>1.3794660180610006</v>
      </c>
      <c r="P45" s="26">
        <f>G45/AA$3</f>
        <v>6.6367867609032918E-2</v>
      </c>
      <c r="Q45" s="40"/>
      <c r="R45" s="23"/>
      <c r="S45" s="40"/>
      <c r="T45" s="40"/>
      <c r="X45" s="23">
        <f>H45/AB$3</f>
        <v>5.9976783393956547E-2</v>
      </c>
      <c r="AC45">
        <v>4</v>
      </c>
      <c r="AD45">
        <v>4</v>
      </c>
      <c r="AE45">
        <f>AC45-AD45</f>
        <v>0</v>
      </c>
      <c r="AF45">
        <v>16</v>
      </c>
      <c r="AG45" s="119">
        <v>16.158612000000002</v>
      </c>
      <c r="AH45">
        <f t="shared" si="1"/>
        <v>-12</v>
      </c>
      <c r="AI45" s="119">
        <f>AD45-AG45</f>
        <v>-12.158612000000002</v>
      </c>
      <c r="AJ45" s="23">
        <v>-0.63300000000000001</v>
      </c>
      <c r="AK45" s="23">
        <f>(AI45-AI$50)/AI$51</f>
        <v>-0.68483130546873627</v>
      </c>
      <c r="AL45">
        <v>26</v>
      </c>
      <c r="AM45">
        <v>7</v>
      </c>
      <c r="AN45">
        <f t="shared" si="2"/>
        <v>19</v>
      </c>
      <c r="AO45" s="23">
        <v>1.1910000000000001</v>
      </c>
      <c r="AP45" s="23">
        <v>9.6000000000000002E-2</v>
      </c>
      <c r="AQ45" s="23">
        <f>(0.6*AK45)+(0.4*AO45)</f>
        <v>6.5501216718758304E-2</v>
      </c>
      <c r="AR45" s="34">
        <v>52600</v>
      </c>
      <c r="AS45" s="77">
        <v>52600</v>
      </c>
      <c r="AT45">
        <v>6235</v>
      </c>
      <c r="AU45" s="34">
        <v>6956.2619999999997</v>
      </c>
      <c r="AV45">
        <f>AR45-AT45</f>
        <v>46365</v>
      </c>
      <c r="AW45" s="34">
        <f t="shared" si="15"/>
        <v>45643.737999999998</v>
      </c>
      <c r="AX45" s="23">
        <v>0.81699999999999995</v>
      </c>
      <c r="AY45" s="23">
        <f>(AW45-AW$50)/AW$51</f>
        <v>0.78362695578343788</v>
      </c>
    </row>
    <row r="46" spans="1:51" x14ac:dyDescent="0.25">
      <c r="A46" s="9" t="s">
        <v>140</v>
      </c>
      <c r="B46" s="9" t="s">
        <v>100</v>
      </c>
      <c r="C46" s="10">
        <f t="shared" si="0"/>
        <v>35</v>
      </c>
      <c r="D46">
        <v>28</v>
      </c>
      <c r="E46">
        <v>7</v>
      </c>
      <c r="F46">
        <v>0</v>
      </c>
      <c r="G46" s="26">
        <v>-0.32700000000000001</v>
      </c>
      <c r="H46" s="26">
        <f t="shared" si="14"/>
        <v>-0.32682297236885932</v>
      </c>
      <c r="I46" s="69"/>
      <c r="J46" s="48"/>
      <c r="K46" s="249"/>
      <c r="L46" s="249"/>
      <c r="M46" s="48"/>
      <c r="N46" s="48"/>
      <c r="O46" s="48"/>
      <c r="P46" s="26"/>
      <c r="Q46" s="40"/>
      <c r="R46" s="23"/>
      <c r="S46" s="40"/>
      <c r="T46" s="40"/>
      <c r="X46" s="23"/>
      <c r="AC46">
        <v>26</v>
      </c>
      <c r="AD46">
        <v>26</v>
      </c>
      <c r="AE46">
        <f>AC46-AD46</f>
        <v>0</v>
      </c>
      <c r="AF46">
        <v>24</v>
      </c>
      <c r="AG46" s="119">
        <v>24.589193000000002</v>
      </c>
      <c r="AH46">
        <f t="shared" si="1"/>
        <v>2</v>
      </c>
      <c r="AI46" s="119">
        <f>AD46-AG46</f>
        <v>1.4108069999999984</v>
      </c>
      <c r="AJ46" s="23">
        <v>-8.7999999999999995E-2</v>
      </c>
      <c r="AK46" s="23">
        <f>(AI46-AI$50)/AI$51</f>
        <v>-7.9879374978320525E-2</v>
      </c>
      <c r="AL46">
        <v>4</v>
      </c>
      <c r="AM46">
        <v>11</v>
      </c>
      <c r="AN46">
        <f t="shared" si="2"/>
        <v>-7</v>
      </c>
      <c r="AO46" s="23">
        <v>-0.88300000000000001</v>
      </c>
      <c r="AP46" s="23">
        <v>-0.40600000000000003</v>
      </c>
      <c r="AQ46" s="23">
        <f>(0.6*AK46)+(0.4*AO46)</f>
        <v>-0.40112762498699234</v>
      </c>
      <c r="AR46" s="34">
        <v>0</v>
      </c>
      <c r="AS46" s="77">
        <v>2500</v>
      </c>
      <c r="AT46">
        <v>12851</v>
      </c>
      <c r="AU46" s="34">
        <v>14212.453799999999</v>
      </c>
      <c r="AV46">
        <f>AR46-AT46</f>
        <v>-12851</v>
      </c>
      <c r="AW46" s="34">
        <f t="shared" si="15"/>
        <v>-11712.453799999999</v>
      </c>
      <c r="AX46" s="23">
        <v>-0.20899999999999999</v>
      </c>
      <c r="AY46" s="23">
        <f>(AW46-AW$50)/AW$51</f>
        <v>-0.21536599344165983</v>
      </c>
    </row>
    <row r="47" spans="1:51" x14ac:dyDescent="0.25">
      <c r="A47" s="9" t="s">
        <v>141</v>
      </c>
      <c r="B47" s="9" t="s">
        <v>107</v>
      </c>
      <c r="C47" s="10">
        <f t="shared" si="0"/>
        <v>10</v>
      </c>
      <c r="D47" s="8">
        <v>10</v>
      </c>
      <c r="E47">
        <v>0</v>
      </c>
      <c r="F47">
        <v>0</v>
      </c>
      <c r="G47" s="26">
        <v>4.2000000000000003E-2</v>
      </c>
      <c r="H47" s="26">
        <f t="shared" si="14"/>
        <v>5.129990828240967E-2</v>
      </c>
      <c r="I47" s="70"/>
      <c r="J47" s="48" t="e">
        <f>C47*N47</f>
        <v>#REF!</v>
      </c>
      <c r="K47" s="249"/>
      <c r="L47" s="249"/>
      <c r="M47" s="48"/>
      <c r="N47" s="48" t="e">
        <f>#REF!/AA2</f>
        <v>#REF!</v>
      </c>
      <c r="O47" s="48"/>
      <c r="P47" s="26"/>
      <c r="Q47" s="40"/>
      <c r="R47" s="23"/>
      <c r="S47" s="40"/>
      <c r="T47" s="40"/>
      <c r="X47" s="23"/>
      <c r="AC47">
        <v>13</v>
      </c>
      <c r="AD47">
        <v>13</v>
      </c>
      <c r="AE47">
        <f>AC47-AD47</f>
        <v>0</v>
      </c>
      <c r="AF47">
        <v>7</v>
      </c>
      <c r="AG47" s="119">
        <v>7.0254839999999996</v>
      </c>
      <c r="AH47">
        <f t="shared" si="1"/>
        <v>6</v>
      </c>
      <c r="AI47" s="119">
        <f>AD47-AG47</f>
        <v>5.9745160000000004</v>
      </c>
      <c r="AJ47" s="23">
        <v>6.8000000000000005E-2</v>
      </c>
      <c r="AK47" s="23">
        <f>(AI47-AI$50)/AI$51</f>
        <v>0.12357993081410036</v>
      </c>
      <c r="AL47">
        <v>22</v>
      </c>
      <c r="AM47">
        <v>3</v>
      </c>
      <c r="AN47">
        <f t="shared" si="2"/>
        <v>19</v>
      </c>
      <c r="AO47" s="23">
        <v>0.05</v>
      </c>
      <c r="AP47" s="23">
        <v>6.0999999999999999E-2</v>
      </c>
      <c r="AQ47" s="23">
        <f>(0.6*AK47)+(0.4*AO47)</f>
        <v>9.4147958488460221E-2</v>
      </c>
      <c r="AR47" s="34">
        <v>1528</v>
      </c>
      <c r="AS47" s="77">
        <v>1527.7</v>
      </c>
      <c r="AT47">
        <v>1485</v>
      </c>
      <c r="AU47" s="34">
        <v>1619.9124999999999</v>
      </c>
      <c r="AV47">
        <f>AR47-AT47</f>
        <v>43</v>
      </c>
      <c r="AW47" s="34">
        <f t="shared" si="15"/>
        <v>-92.212499999999864</v>
      </c>
      <c r="AX47" s="23">
        <v>1.4999999999999999E-2</v>
      </c>
      <c r="AY47" s="23">
        <f>(AW47-AW$50)/AW$51</f>
        <v>-1.2972167026666145E-2</v>
      </c>
    </row>
    <row r="48" spans="1:51" x14ac:dyDescent="0.25">
      <c r="A48" s="7" t="s">
        <v>141</v>
      </c>
      <c r="B48" s="7" t="s">
        <v>143</v>
      </c>
      <c r="C48" s="10">
        <f t="shared" si="0"/>
        <v>7</v>
      </c>
      <c r="D48" s="8">
        <v>7</v>
      </c>
      <c r="E48">
        <v>0</v>
      </c>
      <c r="F48">
        <v>0</v>
      </c>
      <c r="G48" s="26">
        <v>-8.3000000000000004E-2</v>
      </c>
      <c r="H48" s="26">
        <f t="shared" si="14"/>
        <v>-6.6176618824535502E-2</v>
      </c>
      <c r="I48" s="37"/>
      <c r="J48" s="40"/>
      <c r="K48" s="59"/>
      <c r="L48" s="59"/>
      <c r="M48" s="40"/>
      <c r="N48" s="40"/>
      <c r="O48" s="40"/>
      <c r="P48" s="23"/>
      <c r="Q48" s="40"/>
      <c r="R48" s="23"/>
      <c r="S48" s="40"/>
      <c r="T48" s="40"/>
      <c r="X48" s="23"/>
      <c r="AC48">
        <v>6</v>
      </c>
      <c r="AD48">
        <v>7</v>
      </c>
      <c r="AE48">
        <f>AC48-AD48</f>
        <v>-1</v>
      </c>
      <c r="AF48">
        <v>5</v>
      </c>
      <c r="AG48" s="119">
        <v>4.9178389999999998</v>
      </c>
      <c r="AH48">
        <f t="shared" si="1"/>
        <v>1</v>
      </c>
      <c r="AI48" s="119">
        <f>AD48-AG48</f>
        <v>2.0821610000000002</v>
      </c>
      <c r="AJ48" s="23">
        <v>-0.127</v>
      </c>
      <c r="AK48" s="23">
        <f>(AI48-AI$50)/AI$51</f>
        <v>-4.9949066367283926E-2</v>
      </c>
      <c r="AL48">
        <v>0</v>
      </c>
      <c r="AM48">
        <v>2</v>
      </c>
      <c r="AN48">
        <f t="shared" si="2"/>
        <v>-2</v>
      </c>
      <c r="AO48" s="23">
        <v>-0.157</v>
      </c>
      <c r="AP48" s="23">
        <v>-0.13900000000000001</v>
      </c>
      <c r="AQ48" s="23">
        <f>(0.6*AK48)+(0.4*AO48)</f>
        <v>-9.2769439820370364E-2</v>
      </c>
      <c r="AR48" s="34">
        <v>0</v>
      </c>
      <c r="AS48" s="77">
        <v>0</v>
      </c>
      <c r="AT48">
        <v>803</v>
      </c>
      <c r="AU48" s="34">
        <v>856.69269999999995</v>
      </c>
      <c r="AV48">
        <f>AR48-AT48</f>
        <v>-803</v>
      </c>
      <c r="AW48" s="34">
        <f t="shared" si="15"/>
        <v>-856.69269999999995</v>
      </c>
      <c r="AX48" s="23">
        <v>0</v>
      </c>
      <c r="AY48" s="23">
        <f>(AW48-AW$50)/AW$51</f>
        <v>-2.6287387330783209E-2</v>
      </c>
    </row>
    <row r="49" spans="1:51" x14ac:dyDescent="0.25">
      <c r="A49" s="71"/>
      <c r="B49" s="71"/>
      <c r="C49" s="1">
        <f>SUM(C3:C48)</f>
        <v>1420</v>
      </c>
      <c r="D49" s="1">
        <f>SUM(D3:D48)</f>
        <v>947</v>
      </c>
      <c r="E49" s="1">
        <f>SUM(E3:E48)</f>
        <v>178</v>
      </c>
      <c r="F49" s="1">
        <f>SUM(F3:F48)</f>
        <v>496</v>
      </c>
      <c r="G49" s="57"/>
      <c r="H49" s="57"/>
      <c r="I49" s="67">
        <f>SUM(I3:I48)</f>
        <v>459664.01844726491</v>
      </c>
      <c r="J49" s="57"/>
      <c r="K49" s="60">
        <f>SUM(K3:K48)</f>
        <v>459664.01844726515</v>
      </c>
      <c r="L49" s="60"/>
      <c r="M49" s="57"/>
      <c r="N49" s="57" t="e">
        <f>SUM(N3:N48)</f>
        <v>#REF!</v>
      </c>
      <c r="O49" s="57"/>
      <c r="P49" s="54">
        <f>SUM(P3:P48)</f>
        <v>1</v>
      </c>
      <c r="Q49" s="57" t="e">
        <f>SUM(Q3:Q48)</f>
        <v>#REF!</v>
      </c>
      <c r="R49" s="54">
        <f>SUM(R3:R48)</f>
        <v>96.146999999999991</v>
      </c>
      <c r="S49" s="63">
        <f>R49/F49</f>
        <v>0.19384475806451612</v>
      </c>
      <c r="T49" s="57">
        <f>SUM(T3:T48)</f>
        <v>1</v>
      </c>
      <c r="X49" s="23"/>
      <c r="AC49" s="1">
        <f>SUM(AC3:AC48)</f>
        <v>884</v>
      </c>
      <c r="AD49" s="1">
        <f>SUM(AD3:AD48)</f>
        <v>877</v>
      </c>
      <c r="AE49" s="1"/>
      <c r="AL49" s="1">
        <f>SUM(AL3:AL48)</f>
        <v>399</v>
      </c>
      <c r="AR49" s="55">
        <f>SUM(AR3:AR48)</f>
        <v>786525</v>
      </c>
      <c r="AS49" s="55">
        <f>SUM(AS3:AS48)</f>
        <v>798303</v>
      </c>
    </row>
    <row r="50" spans="1:51" x14ac:dyDescent="0.25">
      <c r="C50" s="1"/>
      <c r="J50" s="57" t="e">
        <f>SUM(J3:J49)</f>
        <v>#REF!</v>
      </c>
      <c r="K50" s="57"/>
      <c r="L50" s="57"/>
      <c r="M50" s="57">
        <f>SUM(M3:M49)</f>
        <v>127.95793828650233</v>
      </c>
      <c r="O50" s="57">
        <f>SUM(O3:O49)</f>
        <v>112.10704069064658</v>
      </c>
      <c r="S50" s="40">
        <f>SUM(S3:S48)</f>
        <v>1.5515109458451635</v>
      </c>
      <c r="T50" s="40"/>
      <c r="V50" s="57" t="e">
        <f>SUM(V12:V49)</f>
        <v>#REF!</v>
      </c>
      <c r="AD50" s="163">
        <f>(AD49/AC49)*100</f>
        <v>99.208144796380097</v>
      </c>
      <c r="AH50" s="1" t="s">
        <v>353</v>
      </c>
      <c r="AI50" s="119">
        <f>AVERAGE(AI3:AI5,AI7:AI8,AI10:AI11,AI13:AI14,AI17,AI21:AI22,AI25:AI28,AI30:AI38,AI42,AI44:AI48)</f>
        <v>3.2025472258064513</v>
      </c>
      <c r="AL50" s="1">
        <f>AC49+AL49</f>
        <v>1283</v>
      </c>
      <c r="AV50" s="1" t="s">
        <v>353</v>
      </c>
      <c r="AW50" s="34">
        <f>AVERAGE(AW3:AW5,AW7:AW8,AW10:AW11,AW13:AW14,AW17,AW21:AW22,AW25:AW28,AW30:AW38,AW42,AW44:AW48)</f>
        <v>652.57163548387314</v>
      </c>
      <c r="AY50" s="23"/>
    </row>
    <row r="51" spans="1:51" ht="18.75" x14ac:dyDescent="0.3">
      <c r="A51" s="14"/>
      <c r="C51" s="1"/>
      <c r="AH51" s="1" t="s">
        <v>316</v>
      </c>
      <c r="AI51">
        <f>STDEV(AI3:AI5,AI7:AI8,AI10:AI11,AI13:AI14,AI17,AI21:AI22,AI25:AI28,AI30:AI38,AI42,AI44:AI48)</f>
        <v>22.430573928410631</v>
      </c>
      <c r="AV51" s="1" t="s">
        <v>316</v>
      </c>
      <c r="AW51">
        <f>STDEV(AW3:AW5,AW7:AW8,AW10:AW11,AW13:AW14,AW17,AW21:AW22,AW25:AW28,AW30:AW38,AW42,AW44:AW48)</f>
        <v>57414.010623889029</v>
      </c>
    </row>
  </sheetData>
  <dataValidations count="1">
    <dataValidation type="list" showInputMessage="1" showErrorMessage="1" sqref="D1:F1">
      <formula1>$A$51:$A$75</formula1>
    </dataValidation>
  </dataValidation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EF2437-A33C-447F-B9E7-1FB7A7C7F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37213D-B332-4E50-8BCF-C88BAC9F6C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8AB54B-7E14-407F-B572-303BFBA6F292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E1_alokácia</vt:lpstr>
      <vt:lpstr>E2_zamestnanci_2019</vt:lpstr>
      <vt:lpstr>E3_oblasti</vt:lpstr>
      <vt:lpstr>E4a_M1_prirodne</vt:lpstr>
      <vt:lpstr>E4b_M2_technicke</vt:lpstr>
      <vt:lpstr>E4c_M3_lekarske</vt:lpstr>
      <vt:lpstr>E4d_M4_polno_les_vet</vt:lpstr>
      <vt:lpstr>E4e_M5_spolocenske</vt:lpstr>
      <vt:lpstr>E4f_M6_humanitne</vt:lpstr>
      <vt:lpstr>E4g_M6_umenie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Kanovský Martin</dc:creator>
  <cp:lastModifiedBy>Kanovský Martin</cp:lastModifiedBy>
  <dcterms:created xsi:type="dcterms:W3CDTF">2021-06-03T13:52:00Z</dcterms:created>
  <dcterms:modified xsi:type="dcterms:W3CDTF">2022-02-21T08:17:09Z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  <property fmtid="{D5CDD505-2E9C-101B-9397-08002B2CF9AE}" pid="3" name="ContentTypeId">
    <vt:lpwstr>0x010100909021EF4742B343A1D85F8700228882</vt:lpwstr>
  </property>
</Properties>
</file>