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2.xml" ContentType="application/vnd.openxmlformats-officedocument.drawing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drawings/drawing3.xml" ContentType="application/vnd.openxmlformats-officedocument.drawing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drawings/drawing4.xml" ContentType="application/vnd.openxmlformats-officedocument.drawing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5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6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240" yWindow="495" windowWidth="19260" windowHeight="4470" tabRatio="1000"/>
  </bookViews>
  <sheets>
    <sheet name="obal" sheetId="46" r:id="rId1"/>
    <sheet name="zoznam" sheetId="47" r:id="rId2"/>
    <sheet name="T1-počet študentov" sheetId="1" r:id="rId3"/>
    <sheet name="T2-študenti podľa odborov" sheetId="2" r:id="rId4"/>
    <sheet name="T3-podiel škol" sheetId="3" r:id="rId5"/>
    <sheet name="T4-abs podľa odborov" sheetId="4" r:id="rId6"/>
    <sheet name="T5-abs podiel skol" sheetId="5" r:id="rId7"/>
    <sheet name="T6-PKIpo odboroch" sheetId="6" r:id="rId8"/>
    <sheet name="T7-PKIvek" sheetId="7" r:id="rId9"/>
    <sheet name="T8-PK maturanti" sheetId="9" r:id="rId10"/>
    <sheet name="T9-PK II. stupen" sheetId="10" r:id="rId11"/>
    <sheet name="T10-Platy" sheetId="48" r:id="rId12"/>
    <sheet name="T11-profesori" sheetId="50" r:id="rId13"/>
    <sheet name="T12a-VVŠ VEGA" sheetId="51" r:id="rId14"/>
    <sheet name="T12b-komisie VEGA" sheetId="52" r:id="rId15"/>
    <sheet name="T13-VVŠ KEGA" sheetId="53" r:id="rId16"/>
    <sheet name="T14a-VVŠ_ŠP" sheetId="54" r:id="rId17"/>
    <sheet name="T14b-SVV ŠP" sheetId="55" r:id="rId18"/>
    <sheet name="T15a-VVŠ APVV" sheetId="56" r:id="rId19"/>
    <sheet name="T15b-SVV APVV" sheetId="57" r:id="rId20"/>
    <sheet name="T16-VVŠ ZG" sheetId="58" r:id="rId21"/>
    <sheet name="T17-soc.štip 2009,2010" sheetId="60" r:id="rId22"/>
    <sheet name="T18-Ubytovanie 2009,2010" sheetId="61" r:id="rId23"/>
    <sheet name="T19a-Súvaha A 2010" sheetId="62" r:id="rId24"/>
    <sheet name="T19b-Súvaha P 2010" sheetId="63" r:id="rId25"/>
    <sheet name="T20-Výnosy 2010" sheetId="64" r:id="rId26"/>
    <sheet name="T21-Výnosy porovnanie" sheetId="65" r:id="rId27"/>
    <sheet name="T22-Náklady 2010" sheetId="66" r:id="rId28"/>
    <sheet name="T23-Náklady porovnanie" sheetId="67" r:id="rId29"/>
    <sheet name="T24-VH 2010" sheetId="68" r:id="rId30"/>
    <sheet name="T25-výnosy so o porovnanie" sheetId="69" r:id="rId31"/>
    <sheet name="T26-náklady soc o porovnanie" sheetId="70" r:id="rId32"/>
    <sheet name="T27-VH soc.star. 2010" sheetId="73" r:id="rId33"/>
    <sheet name="T28-381 rok 2010" sheetId="74" r:id="rId34"/>
    <sheet name="GP1-vývojpočtu" sheetId="75" r:id="rId35"/>
    <sheet name="GP2 - vek I+II" sheetId="76" r:id="rId36"/>
    <sheet name="GP3- vek III" sheetId="77" r:id="rId37"/>
    <sheet name="GP4-granty" sheetId="78" r:id="rId38"/>
    <sheet name="GP5-GP6-výnosy a náklady" sheetId="79" r:id="rId39"/>
  </sheets>
  <externalReferences>
    <externalReference r:id="rId40"/>
  </externalReferences>
  <definedNames>
    <definedName name="_______kmp1">#REF!</definedName>
    <definedName name="_______kmt1">#REF!</definedName>
    <definedName name="____wd1">[1]vahy!$B$1</definedName>
    <definedName name="____wd3">[1]vahy!$B$3</definedName>
    <definedName name="____we1">[1]vahy!$B$2</definedName>
    <definedName name="____we3">[1]vahy!$B$4</definedName>
    <definedName name="__T1">#REF!</definedName>
    <definedName name="_kmp1">#REF!</definedName>
    <definedName name="_kmt1">#REF!</definedName>
    <definedName name="_T1">#REF!</definedName>
    <definedName name="_wd1">[1]vahy!$B$1</definedName>
    <definedName name="_wd3">[1]vahy!$B$3</definedName>
    <definedName name="_we1">[1]vahy!$B$2</definedName>
    <definedName name="_we3">[1]vahy!$B$4</definedName>
    <definedName name="aaa" hidden="1">3</definedName>
    <definedName name="denní">#REF!</definedName>
    <definedName name="dokpo">#REF!</definedName>
    <definedName name="dokpred">#REF!</definedName>
    <definedName name="druhý">#REF!</definedName>
    <definedName name="exterdruhý">#REF!</definedName>
    <definedName name="externeplat">#REF!</definedName>
    <definedName name="exterplat">#REF!</definedName>
    <definedName name="KKS_doc">#REF!</definedName>
    <definedName name="KKS_ost">#REF!</definedName>
    <definedName name="KKS_phd">#REF!</definedName>
    <definedName name="KKS_prof">#REF!</definedName>
    <definedName name="koef_gm_mzdy">#REF!</definedName>
    <definedName name="koef_kpn">#REF!</definedName>
    <definedName name="koef_prer_nad_gm_mzdy">#REF!</definedName>
    <definedName name="koef_PV">#REF!</definedName>
    <definedName name="koef_udr_kat1">#REF!</definedName>
    <definedName name="koef_udr_kat2">#REF!</definedName>
    <definedName name="koef_udr_kat3">#REF!</definedName>
    <definedName name="koef_VV">#REF!</definedName>
    <definedName name="kpn_ca_do">#REF!</definedName>
    <definedName name="kpn_ca_nad">#REF!</definedName>
    <definedName name="kzk">#REF!</definedName>
    <definedName name="kzspp">#REF!</definedName>
    <definedName name="l">#REF!</definedName>
    <definedName name="_xlnm.Print_Titles" localSheetId="10">'T9-PK II. stupen'!$1:$6</definedName>
    <definedName name="nefinanc">1</definedName>
    <definedName name="_xlnm.Print_Area" localSheetId="34">'GP1-vývojpočtu'!$A$1:$H$44</definedName>
    <definedName name="_xlnm.Print_Area" localSheetId="10">'T9-PK II. stupen'!$A$1:$J$64</definedName>
    <definedName name="_xlnm.Print_Area" localSheetId="1">zoznam!#REF!</definedName>
    <definedName name="pocet_jedal">#REF!</definedName>
    <definedName name="podiel">#REF!</definedName>
    <definedName name="poistné">#REF!</definedName>
    <definedName name="Pp_DrŠ_exist">#REF!</definedName>
    <definedName name="Pp_DrŠ_noví">#REF!</definedName>
    <definedName name="Pp_DrŠ_spolu">#REF!</definedName>
    <definedName name="Pp_klinické_TaS">#REF!</definedName>
    <definedName name="Pp_klinické_TaS_rozpísaný">#REF!</definedName>
    <definedName name="Pp_Rozvoj_BD">#REF!</definedName>
    <definedName name="Pp_Soc_BD">#REF!</definedName>
    <definedName name="Pp_VaT_BD">#REF!</definedName>
    <definedName name="Pp_VaT_mzdy">#REF!</definedName>
    <definedName name="Pp_VaT_mzdy_rezerva">#REF!</definedName>
    <definedName name="Pp_VaT_mzdy_zac_roka">#REF!</definedName>
    <definedName name="Pp_Vzdel_BD">#REF!</definedName>
    <definedName name="Pp_Vzdel_mzdy">#REF!</definedName>
    <definedName name="Pp_Vzdel_mzdy_kontr">#REF!</definedName>
    <definedName name="Pp_Vzdel_mzdy_na_prer_modif">#REF!</definedName>
    <definedName name="Pp_Vzdel_mzdy_na_prer_nemodif">#REF!</definedName>
    <definedName name="Pp_Vzdel_mzdy_prevádz">#REF!</definedName>
    <definedName name="Pp_Vzdel_mzdy_rezerva">#REF!</definedName>
    <definedName name="Pp_Vzdel_mzdy_spec">#REF!</definedName>
    <definedName name="Pp_Vzdel_mzdy_výkon">#REF!</definedName>
    <definedName name="Pp_Vzdel_mzdy_výkon_PV">#REF!</definedName>
    <definedName name="Pp_Vzdel_mzdy_výkon_PV_bez">#REF!</definedName>
    <definedName name="Pp_Vzdel_mzdy_výkon_PV_um">#REF!</definedName>
    <definedName name="Pp_Vzdel_mzdy_výkon_VV">#REF!</definedName>
    <definedName name="Pp_Vzdel_mzdy_výkon_VV_bez">#REF!</definedName>
    <definedName name="Pp_Vzdel_mzdy_výkon_VV_um">#REF!</definedName>
    <definedName name="Pp_Vzdel_spec_prax">#REF!</definedName>
    <definedName name="Pp_Vzdel_TaS">#REF!</definedName>
    <definedName name="Pp_Vzdel_TaS_rezerva">#REF!</definedName>
    <definedName name="Pp_Vzdel_TaS_spec">#REF!</definedName>
    <definedName name="Pp_Vzdel_TaS_stav">#REF!</definedName>
    <definedName name="Pp_Vzdel_TaS_výkon">#REF!</definedName>
    <definedName name="Pp_Vzdel_TaS_výkon_PPŠ">#REF!</definedName>
    <definedName name="Pp_Vzdel_TaS_výkon_PPŠ_a_zákl">#REF!</definedName>
    <definedName name="Pp_Vzdel_TaS_výkon_PPŠ_KEN">#REF!</definedName>
    <definedName name="Pp_Vzdel_TaS_zahr_granty">#REF!</definedName>
    <definedName name="Pp_Vzdel_TaS_zákl">#REF!</definedName>
    <definedName name="Pr_AV_BD">#REF!</definedName>
    <definedName name="Pr_IV_BD">#REF!</definedName>
    <definedName name="Pr_IV_KV">#REF!</definedName>
    <definedName name="Pr_IV_KV_rezerva">#REF!</definedName>
    <definedName name="Pr_KEGA_BD">#REF!</definedName>
    <definedName name="Pr_klinické">#REF!</definedName>
    <definedName name="Pr_KŠ">#REF!</definedName>
    <definedName name="Pr_motštip_BD">#REF!</definedName>
    <definedName name="Pr_MVTS_BD">#REF!</definedName>
    <definedName name="Pr_socštip_BD">#REF!</definedName>
    <definedName name="Pr_ŠD">#REF!</definedName>
    <definedName name="Pr_ŠDaJKŠPC_BD">#REF!</definedName>
    <definedName name="Pr_VaT_KV_zac_roka">#REF!</definedName>
    <definedName name="Pr_VaT_TaS">#REF!</definedName>
    <definedName name="Pr_VaT_TaS_rezerva">#REF!</definedName>
    <definedName name="Pr_VaT_TaS_zac_roka">#REF!</definedName>
    <definedName name="Pr_VEGA_BD">#REF!</definedName>
    <definedName name="predmety">#REF!</definedName>
    <definedName name="prisp_na_1_jedlo">#REF!</definedName>
    <definedName name="prisp_na_ubyt_stud_SD">#REF!</definedName>
    <definedName name="prisp_na_ubyt_stud_ZZ">#REF!</definedName>
    <definedName name="prísp_zákl_prev">#REF!</definedName>
    <definedName name="R_vvs">#REF!</definedName>
    <definedName name="R_vvs_BD">#REF!</definedName>
    <definedName name="R_vvs_VaT_BD">#REF!</definedName>
    <definedName name="Sanet">#REF!</definedName>
    <definedName name="SAPBEXrevision" hidden="1">7</definedName>
    <definedName name="SAPBEXsysID" hidden="1">"BS1"</definedName>
    <definedName name="SAPBEXwbID" hidden="1">"3TG3S316PX9BHXMQEBSXSYZZO"</definedName>
    <definedName name="stavba_ucelova">#REF!</definedName>
    <definedName name="studenti_vstup">#REF!</definedName>
    <definedName name="sustava">#REF!</definedName>
    <definedName name="T_1">#REF!</definedName>
    <definedName name="T_25_so_štip_2007">#REF!</definedName>
    <definedName name="T_M">#REF!</definedName>
    <definedName name="váha_absDrš">#REF!</definedName>
    <definedName name="váha_DG">#REF!</definedName>
    <definedName name="váha_poDs">#REF!</definedName>
    <definedName name="váha_Pub">#REF!</definedName>
    <definedName name="váha_ZG">#REF!</definedName>
    <definedName name="výkon_um">#REF!</definedName>
    <definedName name="xxx" hidden="1">"3TGMUFSSIAIMK2KTNC9DELQD0"</definedName>
    <definedName name="zakl_prisp_na_prev_SD">#REF!</definedName>
    <definedName name="záloha">#REF!</definedName>
  </definedNames>
  <calcPr calcId="145621"/>
</workbook>
</file>

<file path=xl/calcChain.xml><?xml version="1.0" encoding="utf-8"?>
<calcChain xmlns="http://schemas.openxmlformats.org/spreadsheetml/2006/main">
  <c r="B9" i="57" l="1"/>
  <c r="C8" i="57"/>
  <c r="C7" i="57"/>
  <c r="C6" i="57"/>
  <c r="C4" i="57"/>
  <c r="G4" i="74"/>
  <c r="M4" i="74"/>
  <c r="B5" i="74"/>
  <c r="B24" i="74" s="1"/>
  <c r="H5" i="74"/>
  <c r="L5" i="74"/>
  <c r="G6" i="74"/>
  <c r="M6" i="74"/>
  <c r="G7" i="74"/>
  <c r="M7" i="74"/>
  <c r="G8" i="74"/>
  <c r="M8" i="74"/>
  <c r="G9" i="74"/>
  <c r="M9" i="74"/>
  <c r="G10" i="74"/>
  <c r="M10" i="74"/>
  <c r="G11" i="74"/>
  <c r="M11" i="74"/>
  <c r="G12" i="74"/>
  <c r="M12" i="74"/>
  <c r="G13" i="74"/>
  <c r="M13" i="74"/>
  <c r="G14" i="74"/>
  <c r="M14" i="74"/>
  <c r="G15" i="74"/>
  <c r="M15" i="74"/>
  <c r="G16" i="74"/>
  <c r="M16" i="74"/>
  <c r="G17" i="74"/>
  <c r="M17" i="74"/>
  <c r="G18" i="74"/>
  <c r="M18" i="74"/>
  <c r="G19" i="74"/>
  <c r="M19" i="74"/>
  <c r="G20" i="74"/>
  <c r="M20" i="74"/>
  <c r="G21" i="74"/>
  <c r="I21" i="74"/>
  <c r="H21" i="74" s="1"/>
  <c r="K21" i="74"/>
  <c r="K24" i="74" s="1"/>
  <c r="G22" i="74"/>
  <c r="M22" i="74"/>
  <c r="F23" i="74"/>
  <c r="F24" i="74"/>
  <c r="G23" i="74"/>
  <c r="M23" i="74"/>
  <c r="C24" i="74"/>
  <c r="D24" i="74"/>
  <c r="E24" i="74"/>
  <c r="J24" i="74"/>
  <c r="L24" i="74"/>
  <c r="D3" i="73"/>
  <c r="D5" i="73"/>
  <c r="D6" i="73"/>
  <c r="D7" i="73"/>
  <c r="D8" i="73"/>
  <c r="D10" i="73"/>
  <c r="D20" i="73"/>
  <c r="D21" i="73"/>
  <c r="D4" i="70"/>
  <c r="D5" i="70"/>
  <c r="D6" i="70"/>
  <c r="D7" i="70"/>
  <c r="D8" i="70"/>
  <c r="D9" i="70"/>
  <c r="D10" i="70"/>
  <c r="D11" i="70"/>
  <c r="D12" i="70"/>
  <c r="D13" i="70"/>
  <c r="D14" i="70"/>
  <c r="D15" i="70"/>
  <c r="D16" i="70"/>
  <c r="D17" i="70"/>
  <c r="D18" i="70"/>
  <c r="D19" i="70"/>
  <c r="D20" i="70"/>
  <c r="D21" i="70"/>
  <c r="D22" i="70"/>
  <c r="D23" i="70"/>
  <c r="D24" i="70"/>
  <c r="D25" i="70"/>
  <c r="D26" i="70"/>
  <c r="D27" i="70"/>
  <c r="D28" i="70"/>
  <c r="D29" i="70"/>
  <c r="D30" i="70"/>
  <c r="D31" i="70"/>
  <c r="D33" i="70"/>
  <c r="D34" i="70"/>
  <c r="D35" i="70"/>
  <c r="D36" i="70"/>
  <c r="D37" i="70"/>
  <c r="D38" i="70"/>
  <c r="D39" i="70"/>
  <c r="B40" i="70"/>
  <c r="C40" i="70"/>
  <c r="D4" i="69"/>
  <c r="D5" i="69"/>
  <c r="D6" i="69"/>
  <c r="D7" i="69"/>
  <c r="D8" i="69"/>
  <c r="D9" i="69"/>
  <c r="D10" i="69"/>
  <c r="D11" i="69"/>
  <c r="D12" i="69"/>
  <c r="D13" i="69"/>
  <c r="D14" i="69"/>
  <c r="D15" i="69"/>
  <c r="D16" i="69"/>
  <c r="D17" i="69"/>
  <c r="D18" i="69"/>
  <c r="D19" i="69"/>
  <c r="D23" i="69"/>
  <c r="D24" i="69"/>
  <c r="D25" i="69"/>
  <c r="D26" i="69"/>
  <c r="D27" i="69"/>
  <c r="D28" i="69"/>
  <c r="D29" i="69"/>
  <c r="D30" i="69"/>
  <c r="D31" i="69"/>
  <c r="D32" i="69"/>
  <c r="D33" i="69"/>
  <c r="D34" i="69"/>
  <c r="D35" i="69"/>
  <c r="D36" i="69"/>
  <c r="D38" i="69"/>
  <c r="B39" i="69"/>
  <c r="C39" i="69"/>
  <c r="C4" i="68"/>
  <c r="D4" i="68" s="1"/>
  <c r="F4" i="68"/>
  <c r="H4" i="68"/>
  <c r="C5" i="68"/>
  <c r="D5" i="68" s="1"/>
  <c r="F5" i="68"/>
  <c r="G5" i="68" s="1"/>
  <c r="H5" i="68"/>
  <c r="C6" i="68"/>
  <c r="D6" i="68" s="1"/>
  <c r="F6" i="68"/>
  <c r="G6" i="68"/>
  <c r="H6" i="68"/>
  <c r="C7" i="68"/>
  <c r="D7" i="68" s="1"/>
  <c r="F7" i="68"/>
  <c r="G7" i="68"/>
  <c r="H7" i="68"/>
  <c r="D8" i="68"/>
  <c r="G8" i="68"/>
  <c r="H8" i="68"/>
  <c r="I8" i="68"/>
  <c r="C9" i="68"/>
  <c r="F9" i="68"/>
  <c r="G9" i="68" s="1"/>
  <c r="H9" i="68"/>
  <c r="C10" i="68"/>
  <c r="F10" i="68"/>
  <c r="G10" i="68" s="1"/>
  <c r="H10" i="68"/>
  <c r="C11" i="68"/>
  <c r="F11" i="68"/>
  <c r="G11" i="68" s="1"/>
  <c r="H11" i="68"/>
  <c r="C12" i="68"/>
  <c r="F12" i="68"/>
  <c r="G12" i="68" s="1"/>
  <c r="H12" i="68"/>
  <c r="C13" i="68"/>
  <c r="F13" i="68"/>
  <c r="G13" i="68" s="1"/>
  <c r="H13" i="68"/>
  <c r="C14" i="68"/>
  <c r="F14" i="68"/>
  <c r="G14" i="68" s="1"/>
  <c r="H14" i="68"/>
  <c r="C15" i="68"/>
  <c r="F15" i="68"/>
  <c r="G15" i="68" s="1"/>
  <c r="H15" i="68"/>
  <c r="C16" i="68"/>
  <c r="F16" i="68"/>
  <c r="G16" i="68" s="1"/>
  <c r="H16" i="68"/>
  <c r="C17" i="68"/>
  <c r="F17" i="68"/>
  <c r="G17" i="68" s="1"/>
  <c r="H17" i="68"/>
  <c r="C18" i="68"/>
  <c r="F18" i="68"/>
  <c r="G18" i="68" s="1"/>
  <c r="H18" i="68"/>
  <c r="C19" i="68"/>
  <c r="F19" i="68"/>
  <c r="G19" i="68" s="1"/>
  <c r="H19" i="68"/>
  <c r="C20" i="68"/>
  <c r="F20" i="68"/>
  <c r="G20" i="68" s="1"/>
  <c r="H20" i="68"/>
  <c r="C21" i="68"/>
  <c r="F21" i="68"/>
  <c r="G21" i="68" s="1"/>
  <c r="H21" i="68"/>
  <c r="D22" i="68"/>
  <c r="F22" i="68"/>
  <c r="I22" i="68" s="1"/>
  <c r="H22" i="68"/>
  <c r="C23" i="68"/>
  <c r="D23" i="68" s="1"/>
  <c r="F23" i="68"/>
  <c r="G23" i="68" s="1"/>
  <c r="H23" i="68"/>
  <c r="B24" i="68"/>
  <c r="E24" i="68"/>
  <c r="K24" i="68"/>
  <c r="I4" i="67"/>
  <c r="G4" i="67"/>
  <c r="H5" i="67"/>
  <c r="I5" i="67"/>
  <c r="G5" i="67"/>
  <c r="I6" i="67"/>
  <c r="G6" i="67"/>
  <c r="H7" i="67"/>
  <c r="G7" i="67"/>
  <c r="H8" i="67"/>
  <c r="I8" i="67"/>
  <c r="G8" i="67"/>
  <c r="G9" i="67"/>
  <c r="I10" i="67"/>
  <c r="G10" i="67"/>
  <c r="G11" i="67"/>
  <c r="D12" i="67"/>
  <c r="G12" i="67"/>
  <c r="I12" i="67"/>
  <c r="D13" i="67"/>
  <c r="G13" i="67"/>
  <c r="H13" i="67"/>
  <c r="D14" i="67"/>
  <c r="G14" i="67"/>
  <c r="H14" i="67"/>
  <c r="J14" i="67" s="1"/>
  <c r="I14" i="67"/>
  <c r="G15" i="67"/>
  <c r="H15" i="67"/>
  <c r="I16" i="67"/>
  <c r="G16" i="67"/>
  <c r="H16" i="67"/>
  <c r="G17" i="67"/>
  <c r="I18" i="67"/>
  <c r="G18" i="67"/>
  <c r="D19" i="67"/>
  <c r="G19" i="67"/>
  <c r="G20" i="67"/>
  <c r="G21" i="67"/>
  <c r="H21" i="67"/>
  <c r="G22" i="67"/>
  <c r="H22" i="67"/>
  <c r="G23" i="67"/>
  <c r="H23" i="67"/>
  <c r="I24" i="67"/>
  <c r="G24" i="67"/>
  <c r="H24" i="67"/>
  <c r="H25" i="67"/>
  <c r="G25" i="67"/>
  <c r="H26" i="67"/>
  <c r="I26" i="67"/>
  <c r="G26" i="67"/>
  <c r="G27" i="67"/>
  <c r="H28" i="67"/>
  <c r="G28" i="67"/>
  <c r="D31" i="67"/>
  <c r="I31" i="67"/>
  <c r="G31" i="67"/>
  <c r="I33" i="67"/>
  <c r="G33" i="67"/>
  <c r="H35" i="67"/>
  <c r="G35" i="67"/>
  <c r="H36" i="67"/>
  <c r="H37" i="67"/>
  <c r="G37" i="67"/>
  <c r="H38" i="67"/>
  <c r="G38" i="67"/>
  <c r="G39" i="67"/>
  <c r="H42" i="67"/>
  <c r="H43" i="67"/>
  <c r="H44" i="67"/>
  <c r="B45" i="67"/>
  <c r="C45" i="67"/>
  <c r="D45" i="67"/>
  <c r="F3" i="66"/>
  <c r="F4" i="66"/>
  <c r="F5" i="66"/>
  <c r="F6" i="66"/>
  <c r="F7" i="66"/>
  <c r="F8" i="66"/>
  <c r="F9" i="66"/>
  <c r="F10" i="66"/>
  <c r="F11" i="66"/>
  <c r="F12" i="66"/>
  <c r="F13" i="66"/>
  <c r="F14" i="66"/>
  <c r="F15" i="66"/>
  <c r="F16" i="66"/>
  <c r="F17" i="66"/>
  <c r="F18" i="66"/>
  <c r="F19" i="66"/>
  <c r="F20" i="66"/>
  <c r="F21" i="66"/>
  <c r="F22" i="66"/>
  <c r="F23" i="66"/>
  <c r="F24" i="66"/>
  <c r="F25" i="66"/>
  <c r="F26" i="66"/>
  <c r="F27" i="66"/>
  <c r="F28" i="66"/>
  <c r="F29" i="66"/>
  <c r="F30" i="66"/>
  <c r="F31" i="66"/>
  <c r="F32" i="66"/>
  <c r="F33" i="66"/>
  <c r="F34" i="66"/>
  <c r="F35" i="66"/>
  <c r="F36" i="66"/>
  <c r="F37" i="66"/>
  <c r="F38" i="66"/>
  <c r="B41" i="66"/>
  <c r="D41" i="66"/>
  <c r="F42" i="66"/>
  <c r="F43" i="66"/>
  <c r="F44" i="66"/>
  <c r="B45" i="66"/>
  <c r="D45" i="66"/>
  <c r="D4" i="65"/>
  <c r="G4" i="65"/>
  <c r="H4" i="65"/>
  <c r="I4" i="65"/>
  <c r="D5" i="65"/>
  <c r="G5" i="65"/>
  <c r="H5" i="65"/>
  <c r="I5" i="65"/>
  <c r="D6" i="65"/>
  <c r="G6" i="65"/>
  <c r="H6" i="65"/>
  <c r="I6" i="65"/>
  <c r="D7" i="65"/>
  <c r="G7" i="65"/>
  <c r="H7" i="65"/>
  <c r="I7" i="65"/>
  <c r="J7" i="65"/>
  <c r="D8" i="65"/>
  <c r="G8" i="65"/>
  <c r="H8" i="65"/>
  <c r="I8" i="65"/>
  <c r="D9" i="65"/>
  <c r="G9" i="65"/>
  <c r="J9" i="65" s="1"/>
  <c r="H9" i="65"/>
  <c r="I9" i="65"/>
  <c r="D10" i="65"/>
  <c r="G10" i="65"/>
  <c r="H10" i="65"/>
  <c r="I10" i="65"/>
  <c r="D11" i="65"/>
  <c r="G11" i="65"/>
  <c r="J11" i="65" s="1"/>
  <c r="H11" i="65"/>
  <c r="I11" i="65"/>
  <c r="D12" i="65"/>
  <c r="G12" i="65"/>
  <c r="J12" i="65" s="1"/>
  <c r="H12" i="65"/>
  <c r="I12" i="65"/>
  <c r="D13" i="65"/>
  <c r="G13" i="65"/>
  <c r="J13" i="65" s="1"/>
  <c r="H13" i="65"/>
  <c r="I13" i="65"/>
  <c r="D14" i="65"/>
  <c r="G14" i="65"/>
  <c r="J14" i="65" s="1"/>
  <c r="H14" i="65"/>
  <c r="I14" i="65"/>
  <c r="D15" i="65"/>
  <c r="G15" i="65"/>
  <c r="J15" i="65" s="1"/>
  <c r="H15" i="65"/>
  <c r="I15" i="65"/>
  <c r="D16" i="65"/>
  <c r="G16" i="65"/>
  <c r="H16" i="65"/>
  <c r="I16" i="65"/>
  <c r="D17" i="65"/>
  <c r="G17" i="65"/>
  <c r="J17" i="65" s="1"/>
  <c r="H17" i="65"/>
  <c r="I17" i="65"/>
  <c r="D18" i="65"/>
  <c r="G18" i="65"/>
  <c r="J18" i="65" s="1"/>
  <c r="H18" i="65"/>
  <c r="I18" i="65"/>
  <c r="D19" i="65"/>
  <c r="G19" i="65"/>
  <c r="H19" i="65"/>
  <c r="I19" i="65"/>
  <c r="D20" i="65"/>
  <c r="G20" i="65"/>
  <c r="H20" i="65"/>
  <c r="I20" i="65"/>
  <c r="D21" i="65"/>
  <c r="G21" i="65"/>
  <c r="H21" i="65"/>
  <c r="I21" i="65"/>
  <c r="D22" i="65"/>
  <c r="G22" i="65"/>
  <c r="H22" i="65"/>
  <c r="I22" i="65"/>
  <c r="D23" i="65"/>
  <c r="G23" i="65"/>
  <c r="H23" i="65"/>
  <c r="I23" i="65"/>
  <c r="D24" i="65"/>
  <c r="G24" i="65"/>
  <c r="H24" i="65"/>
  <c r="I24" i="65"/>
  <c r="D25" i="65"/>
  <c r="G25" i="65"/>
  <c r="H25" i="65"/>
  <c r="I25" i="65"/>
  <c r="J25" i="65"/>
  <c r="D26" i="65"/>
  <c r="G26" i="65"/>
  <c r="H26" i="65"/>
  <c r="I26" i="65"/>
  <c r="J26" i="65"/>
  <c r="D27" i="65"/>
  <c r="G27" i="65"/>
  <c r="J27" i="65" s="1"/>
  <c r="H27" i="65"/>
  <c r="I27" i="65"/>
  <c r="D28" i="65"/>
  <c r="G28" i="65"/>
  <c r="J28" i="65" s="1"/>
  <c r="H28" i="65"/>
  <c r="I28" i="65"/>
  <c r="D29" i="65"/>
  <c r="G29" i="65"/>
  <c r="J29" i="65" s="1"/>
  <c r="H29" i="65"/>
  <c r="I29" i="65"/>
  <c r="D30" i="65"/>
  <c r="G30" i="65"/>
  <c r="J30" i="65" s="1"/>
  <c r="H30" i="65"/>
  <c r="I30" i="65"/>
  <c r="D31" i="65"/>
  <c r="G31" i="65"/>
  <c r="J31" i="65" s="1"/>
  <c r="H31" i="65"/>
  <c r="I31" i="65"/>
  <c r="D32" i="65"/>
  <c r="G32" i="65"/>
  <c r="J32" i="65" s="1"/>
  <c r="H32" i="65"/>
  <c r="I32" i="65"/>
  <c r="D33" i="65"/>
  <c r="G33" i="65"/>
  <c r="J33" i="65" s="1"/>
  <c r="H33" i="65"/>
  <c r="I33" i="65"/>
  <c r="D34" i="65"/>
  <c r="G34" i="65"/>
  <c r="J34" i="65" s="1"/>
  <c r="H34" i="65"/>
  <c r="I34" i="65"/>
  <c r="D35" i="65"/>
  <c r="G35" i="65"/>
  <c r="H35" i="65"/>
  <c r="I35" i="65"/>
  <c r="D36" i="65"/>
  <c r="G36" i="65"/>
  <c r="H36" i="65"/>
  <c r="I36" i="65"/>
  <c r="D37" i="65"/>
  <c r="G37" i="65"/>
  <c r="J37" i="65" s="1"/>
  <c r="H37" i="65"/>
  <c r="I37" i="65"/>
  <c r="B38" i="65"/>
  <c r="C38" i="65"/>
  <c r="E38" i="65"/>
  <c r="F38" i="65"/>
  <c r="F3" i="64"/>
  <c r="F4" i="64"/>
  <c r="F5" i="64"/>
  <c r="F6" i="64"/>
  <c r="F7" i="64"/>
  <c r="F8" i="64"/>
  <c r="F9" i="64"/>
  <c r="F10" i="64"/>
  <c r="F11" i="64"/>
  <c r="F12" i="64"/>
  <c r="F13" i="64"/>
  <c r="F14" i="64"/>
  <c r="F15" i="64"/>
  <c r="F16" i="64"/>
  <c r="F17" i="64"/>
  <c r="F18" i="64"/>
  <c r="F19" i="64"/>
  <c r="F20" i="64"/>
  <c r="F21" i="64"/>
  <c r="F22" i="64"/>
  <c r="F23" i="64"/>
  <c r="F24" i="64"/>
  <c r="F25" i="64"/>
  <c r="F26" i="64"/>
  <c r="F27" i="64"/>
  <c r="F28" i="64"/>
  <c r="F29" i="64"/>
  <c r="F30" i="64"/>
  <c r="F31" i="64"/>
  <c r="F32" i="64"/>
  <c r="F33" i="64"/>
  <c r="F34" i="64"/>
  <c r="F35" i="64"/>
  <c r="F36" i="64"/>
  <c r="F37" i="64"/>
  <c r="B38" i="64"/>
  <c r="D38" i="64"/>
  <c r="E31" i="64" s="1"/>
  <c r="F39" i="64"/>
  <c r="F40" i="64"/>
  <c r="F41" i="64"/>
  <c r="B42" i="64"/>
  <c r="D42" i="64"/>
  <c r="D9" i="63"/>
  <c r="D12" i="63"/>
  <c r="D16" i="63"/>
  <c r="D20" i="63"/>
  <c r="D27" i="63"/>
  <c r="D31" i="63"/>
  <c r="D35" i="63"/>
  <c r="D36" i="63" s="1"/>
  <c r="D7" i="62"/>
  <c r="D19" i="62"/>
  <c r="D23" i="62"/>
  <c r="D31" i="62"/>
  <c r="D35" i="62"/>
  <c r="D42" i="62"/>
  <c r="D45" i="62"/>
  <c r="D49" i="62"/>
  <c r="D50" i="62" s="1"/>
  <c r="D3" i="61"/>
  <c r="H3" i="61"/>
  <c r="D4" i="61"/>
  <c r="H4" i="61"/>
  <c r="D5" i="61"/>
  <c r="H5" i="61"/>
  <c r="D6" i="61"/>
  <c r="H6" i="61"/>
  <c r="D7" i="61"/>
  <c r="H7" i="61"/>
  <c r="D8" i="61"/>
  <c r="H8" i="61"/>
  <c r="D9" i="61"/>
  <c r="H9" i="61"/>
  <c r="D10" i="61"/>
  <c r="H10" i="61"/>
  <c r="D11" i="61"/>
  <c r="H11" i="61"/>
  <c r="D12" i="61"/>
  <c r="H12" i="61"/>
  <c r="D13" i="61"/>
  <c r="H13" i="61"/>
  <c r="D14" i="61"/>
  <c r="H14" i="61"/>
  <c r="D15" i="61"/>
  <c r="H15" i="61"/>
  <c r="D16" i="61"/>
  <c r="H16" i="61"/>
  <c r="D17" i="61"/>
  <c r="H17" i="61"/>
  <c r="D18" i="61"/>
  <c r="H18" i="61"/>
  <c r="D19" i="61"/>
  <c r="H19" i="61"/>
  <c r="D20" i="61"/>
  <c r="H20" i="61"/>
  <c r="D21" i="61"/>
  <c r="H21" i="61"/>
  <c r="D22" i="61"/>
  <c r="H22" i="61"/>
  <c r="B23" i="61"/>
  <c r="C23" i="61"/>
  <c r="E23" i="61"/>
  <c r="F23" i="61"/>
  <c r="G23" i="61"/>
  <c r="I23" i="61"/>
  <c r="B23" i="60"/>
  <c r="C23" i="60"/>
  <c r="D23" i="60"/>
  <c r="E23" i="60"/>
  <c r="E3" i="58"/>
  <c r="B23" i="58"/>
  <c r="C6" i="58" s="1"/>
  <c r="D23" i="58"/>
  <c r="E7" i="58" s="1"/>
  <c r="E14" i="56"/>
  <c r="E18" i="56"/>
  <c r="B23" i="56"/>
  <c r="C4" i="56" s="1"/>
  <c r="D23" i="56"/>
  <c r="E10" i="56" s="1"/>
  <c r="E3" i="53"/>
  <c r="I3" i="53"/>
  <c r="E4" i="53"/>
  <c r="I4" i="53"/>
  <c r="E5" i="53"/>
  <c r="I5" i="53"/>
  <c r="E6" i="53"/>
  <c r="I6" i="53"/>
  <c r="E7" i="53"/>
  <c r="I7" i="53"/>
  <c r="E8" i="53"/>
  <c r="I8" i="53"/>
  <c r="E9" i="53"/>
  <c r="I9" i="53"/>
  <c r="E10" i="53"/>
  <c r="I10" i="53"/>
  <c r="E11" i="53"/>
  <c r="I11" i="53"/>
  <c r="E12" i="53"/>
  <c r="I12" i="53"/>
  <c r="E13" i="53"/>
  <c r="I13" i="53"/>
  <c r="E14" i="53"/>
  <c r="I14" i="53"/>
  <c r="E15" i="53"/>
  <c r="I15" i="53"/>
  <c r="E16" i="53"/>
  <c r="I16" i="53"/>
  <c r="E17" i="53"/>
  <c r="I17" i="53"/>
  <c r="E18" i="53"/>
  <c r="I18" i="53"/>
  <c r="E19" i="53"/>
  <c r="I19" i="53"/>
  <c r="E20" i="53"/>
  <c r="I20" i="53"/>
  <c r="E21" i="53"/>
  <c r="I21" i="53"/>
  <c r="E22" i="53"/>
  <c r="I22" i="53"/>
  <c r="B23" i="53"/>
  <c r="C23" i="53"/>
  <c r="D23" i="53"/>
  <c r="G23" i="53"/>
  <c r="H23" i="53"/>
  <c r="F3" i="52"/>
  <c r="F16" i="52" s="1"/>
  <c r="F4" i="52"/>
  <c r="F5" i="52"/>
  <c r="F6" i="52"/>
  <c r="F7" i="52"/>
  <c r="F8" i="52"/>
  <c r="F9" i="52"/>
  <c r="F10" i="52"/>
  <c r="C11" i="52"/>
  <c r="F11" i="52"/>
  <c r="F12" i="52"/>
  <c r="F13" i="52"/>
  <c r="F14" i="52"/>
  <c r="F15" i="52"/>
  <c r="B16" i="52"/>
  <c r="C3" i="52" s="1"/>
  <c r="D16" i="52"/>
  <c r="E16" i="52"/>
  <c r="E3" i="51"/>
  <c r="I3" i="51"/>
  <c r="E4" i="51"/>
  <c r="E23" i="51" s="1"/>
  <c r="I4" i="51"/>
  <c r="E5" i="51"/>
  <c r="I5" i="51"/>
  <c r="E6" i="51"/>
  <c r="I6" i="51"/>
  <c r="E7" i="51"/>
  <c r="I7" i="51"/>
  <c r="E8" i="51"/>
  <c r="I8" i="51"/>
  <c r="E9" i="51"/>
  <c r="I9" i="51"/>
  <c r="E10" i="51"/>
  <c r="F10" i="51" s="1"/>
  <c r="I10" i="51"/>
  <c r="E11" i="51"/>
  <c r="I11" i="51"/>
  <c r="E12" i="51"/>
  <c r="I12" i="51"/>
  <c r="J12" i="51" s="1"/>
  <c r="E13" i="51"/>
  <c r="I13" i="51"/>
  <c r="E14" i="51"/>
  <c r="I14" i="51"/>
  <c r="E15" i="51"/>
  <c r="I15" i="51"/>
  <c r="E16" i="51"/>
  <c r="I16" i="51"/>
  <c r="E17" i="51"/>
  <c r="I17" i="51"/>
  <c r="E18" i="51"/>
  <c r="I18" i="51"/>
  <c r="E19" i="51"/>
  <c r="I19" i="51"/>
  <c r="E20" i="51"/>
  <c r="F20" i="51" s="1"/>
  <c r="I20" i="51"/>
  <c r="E21" i="51"/>
  <c r="I21" i="51"/>
  <c r="E22" i="51"/>
  <c r="I22" i="51"/>
  <c r="B23" i="51"/>
  <c r="C23" i="51"/>
  <c r="D23" i="51"/>
  <c r="G23" i="51"/>
  <c r="H23" i="51"/>
  <c r="I23" i="51"/>
  <c r="J3" i="51" s="1"/>
  <c r="R5" i="48"/>
  <c r="R6" i="48"/>
  <c r="R7" i="48"/>
  <c r="R8" i="48"/>
  <c r="R9" i="48"/>
  <c r="R10" i="48"/>
  <c r="R11" i="48"/>
  <c r="R12" i="48"/>
  <c r="R13" i="48"/>
  <c r="R14" i="48"/>
  <c r="R15" i="48"/>
  <c r="R16" i="48"/>
  <c r="R17" i="48"/>
  <c r="R18" i="48"/>
  <c r="R19" i="48"/>
  <c r="R20" i="48"/>
  <c r="R21" i="48"/>
  <c r="R22" i="48"/>
  <c r="R23" i="48"/>
  <c r="R24" i="48"/>
  <c r="B25" i="48"/>
  <c r="D25" i="48"/>
  <c r="F25" i="48"/>
  <c r="H25" i="48"/>
  <c r="J25" i="48"/>
  <c r="L25" i="48"/>
  <c r="N25" i="48"/>
  <c r="P25" i="48"/>
  <c r="D7" i="10"/>
  <c r="G7" i="10"/>
  <c r="J7" i="10"/>
  <c r="D8" i="10"/>
  <c r="G8" i="10"/>
  <c r="J8" i="10"/>
  <c r="D9" i="10"/>
  <c r="J9" i="10"/>
  <c r="D10" i="10"/>
  <c r="J10" i="10"/>
  <c r="D11" i="10"/>
  <c r="G11" i="10"/>
  <c r="J11" i="10"/>
  <c r="D12" i="10"/>
  <c r="G12" i="10"/>
  <c r="J12" i="10"/>
  <c r="D13" i="10"/>
  <c r="G13" i="10"/>
  <c r="J13" i="10"/>
  <c r="D14" i="10"/>
  <c r="G14" i="10"/>
  <c r="J14" i="10"/>
  <c r="D15" i="10"/>
  <c r="G15" i="10"/>
  <c r="J15" i="10"/>
  <c r="D16" i="10"/>
  <c r="G16" i="10"/>
  <c r="J16" i="10"/>
  <c r="D17" i="10"/>
  <c r="J17" i="10"/>
  <c r="D18" i="10"/>
  <c r="J18" i="10"/>
  <c r="D19" i="10"/>
  <c r="J19" i="10"/>
  <c r="D20" i="10"/>
  <c r="J20" i="10"/>
  <c r="D21" i="10"/>
  <c r="G21" i="10"/>
  <c r="J21" i="10"/>
  <c r="D22" i="10"/>
  <c r="G22" i="10"/>
  <c r="J22" i="10"/>
  <c r="D23" i="10"/>
  <c r="G23" i="10"/>
  <c r="J23" i="10"/>
  <c r="D24" i="10"/>
  <c r="G24" i="10"/>
  <c r="J24" i="10"/>
  <c r="D25" i="10"/>
  <c r="G25" i="10"/>
  <c r="J25" i="10"/>
  <c r="D26" i="10"/>
  <c r="G26" i="10"/>
  <c r="J26" i="10"/>
  <c r="D27" i="10"/>
  <c r="G27" i="10"/>
  <c r="J27" i="10"/>
  <c r="D28" i="10"/>
  <c r="G28" i="10"/>
  <c r="J28" i="10"/>
  <c r="D29" i="10"/>
  <c r="G29" i="10"/>
  <c r="J29" i="10"/>
  <c r="D30" i="10"/>
  <c r="G30" i="10"/>
  <c r="J30" i="10"/>
  <c r="D31" i="10"/>
  <c r="G31" i="10"/>
  <c r="J31" i="10"/>
  <c r="D32" i="10"/>
  <c r="G32" i="10"/>
  <c r="J32" i="10"/>
  <c r="D33" i="10"/>
  <c r="G33" i="10"/>
  <c r="J33" i="10"/>
  <c r="D34" i="10"/>
  <c r="G34" i="10"/>
  <c r="J34" i="10"/>
  <c r="D35" i="10"/>
  <c r="G35" i="10"/>
  <c r="J35" i="10"/>
  <c r="D36" i="10"/>
  <c r="G36" i="10"/>
  <c r="J36" i="10"/>
  <c r="D37" i="10"/>
  <c r="J37" i="10"/>
  <c r="D38" i="10"/>
  <c r="J38" i="10"/>
  <c r="D39" i="10"/>
  <c r="G39" i="10"/>
  <c r="J39" i="10"/>
  <c r="D40" i="10"/>
  <c r="G40" i="10"/>
  <c r="J40" i="10"/>
  <c r="D41" i="10"/>
  <c r="G41" i="10"/>
  <c r="J41" i="10"/>
  <c r="D42" i="10"/>
  <c r="G42" i="10"/>
  <c r="J42" i="10"/>
  <c r="D43" i="10"/>
  <c r="G43" i="10"/>
  <c r="J43" i="10"/>
  <c r="D44" i="10"/>
  <c r="G44" i="10"/>
  <c r="J44" i="10"/>
  <c r="D45" i="10"/>
  <c r="G45" i="10"/>
  <c r="J45" i="10"/>
  <c r="D46" i="10"/>
  <c r="G46" i="10"/>
  <c r="J46" i="10"/>
  <c r="D47" i="10"/>
  <c r="G47" i="10"/>
  <c r="J47" i="10"/>
  <c r="D48" i="10"/>
  <c r="G48" i="10"/>
  <c r="J48" i="10"/>
  <c r="G49" i="10"/>
  <c r="J49" i="10"/>
  <c r="G50" i="10"/>
  <c r="J50" i="10"/>
  <c r="D51" i="10"/>
  <c r="G51" i="10"/>
  <c r="J51" i="10"/>
  <c r="D52" i="10"/>
  <c r="G52" i="10"/>
  <c r="J52" i="10"/>
  <c r="D53" i="10"/>
  <c r="G53" i="10"/>
  <c r="J53" i="10"/>
  <c r="D54" i="10"/>
  <c r="G54" i="10"/>
  <c r="J54" i="10"/>
  <c r="D55" i="10"/>
  <c r="G55" i="10"/>
  <c r="J55" i="10"/>
  <c r="D56" i="10"/>
  <c r="G56" i="10"/>
  <c r="J56" i="10"/>
  <c r="D57" i="10"/>
  <c r="J57" i="10"/>
  <c r="D58" i="10"/>
  <c r="J58" i="10"/>
  <c r="D59" i="10"/>
  <c r="G59" i="10"/>
  <c r="J59" i="10"/>
  <c r="D60" i="10"/>
  <c r="G60" i="10"/>
  <c r="J60" i="10"/>
  <c r="D61" i="10"/>
  <c r="G61" i="10"/>
  <c r="J61" i="10"/>
  <c r="D62" i="10"/>
  <c r="G62" i="10"/>
  <c r="J62" i="10"/>
  <c r="C5" i="7"/>
  <c r="E5" i="7"/>
  <c r="G5" i="7"/>
  <c r="C6" i="7"/>
  <c r="E6" i="7"/>
  <c r="G6" i="7"/>
  <c r="C7" i="7"/>
  <c r="E7" i="7"/>
  <c r="G7" i="7"/>
  <c r="C8" i="7"/>
  <c r="E8" i="7"/>
  <c r="G8" i="7"/>
  <c r="C9" i="7"/>
  <c r="E9" i="7"/>
  <c r="G9" i="7"/>
  <c r="C10" i="7"/>
  <c r="E10" i="7"/>
  <c r="G10" i="7"/>
  <c r="C11" i="7"/>
  <c r="E11" i="7"/>
  <c r="G11" i="7"/>
  <c r="C12" i="7"/>
  <c r="E12" i="7"/>
  <c r="G12" i="7"/>
  <c r="C13" i="7"/>
  <c r="E13" i="7"/>
  <c r="G13" i="7"/>
  <c r="C14" i="7"/>
  <c r="E14" i="7"/>
  <c r="G14" i="7"/>
  <c r="C16" i="7"/>
  <c r="E16" i="7"/>
  <c r="G16" i="7"/>
  <c r="C17" i="7"/>
  <c r="E17" i="7"/>
  <c r="G17" i="7"/>
  <c r="C18" i="7"/>
  <c r="E18" i="7"/>
  <c r="G18" i="7"/>
  <c r="C19" i="7"/>
  <c r="E19" i="7"/>
  <c r="G19" i="7"/>
  <c r="C20" i="7"/>
  <c r="E20" i="7"/>
  <c r="G20" i="7"/>
  <c r="C21" i="7"/>
  <c r="E21" i="7"/>
  <c r="G21" i="7"/>
  <c r="C22" i="7"/>
  <c r="E22" i="7"/>
  <c r="G22" i="7"/>
  <c r="C23" i="7"/>
  <c r="E23" i="7"/>
  <c r="G23" i="7"/>
  <c r="C24" i="7"/>
  <c r="E24" i="7"/>
  <c r="G24" i="7"/>
  <c r="C25" i="7"/>
  <c r="E25" i="7"/>
  <c r="G25" i="7"/>
  <c r="C27" i="7"/>
  <c r="E27" i="7"/>
  <c r="G27" i="7"/>
  <c r="C28" i="7"/>
  <c r="E28" i="7"/>
  <c r="G28" i="7"/>
  <c r="C29" i="7"/>
  <c r="E29" i="7"/>
  <c r="G29" i="7"/>
  <c r="C30" i="7"/>
  <c r="E30" i="7"/>
  <c r="G30" i="7"/>
  <c r="C31" i="7"/>
  <c r="E31" i="7"/>
  <c r="G31" i="7"/>
  <c r="C32" i="7"/>
  <c r="E32" i="7"/>
  <c r="G32" i="7"/>
  <c r="C33" i="7"/>
  <c r="E33" i="7"/>
  <c r="G33" i="7"/>
  <c r="C34" i="7"/>
  <c r="E34" i="7"/>
  <c r="G34" i="7"/>
  <c r="C35" i="7"/>
  <c r="E35" i="7"/>
  <c r="G35" i="7"/>
  <c r="C36" i="7"/>
  <c r="E36" i="7"/>
  <c r="G36" i="7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B34" i="5"/>
  <c r="C34" i="5"/>
  <c r="D34" i="5"/>
  <c r="E34" i="5"/>
  <c r="F34" i="5"/>
  <c r="G34" i="5"/>
  <c r="J5" i="4"/>
  <c r="J6" i="4"/>
  <c r="J7" i="4"/>
  <c r="J8" i="4"/>
  <c r="J9" i="4"/>
  <c r="J10" i="4"/>
  <c r="J11" i="4"/>
  <c r="B12" i="4"/>
  <c r="C12" i="4"/>
  <c r="D12" i="4"/>
  <c r="E12" i="4"/>
  <c r="F12" i="4"/>
  <c r="G12" i="4"/>
  <c r="H12" i="4"/>
  <c r="I12" i="4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B34" i="3"/>
  <c r="C34" i="3"/>
  <c r="D34" i="3"/>
  <c r="E34" i="3"/>
  <c r="H34" i="3"/>
  <c r="J5" i="2"/>
  <c r="J6" i="2"/>
  <c r="J7" i="2"/>
  <c r="J8" i="2"/>
  <c r="J9" i="2"/>
  <c r="J10" i="2"/>
  <c r="J11" i="2"/>
  <c r="L4" i="1"/>
  <c r="L6" i="1"/>
  <c r="L7" i="1"/>
  <c r="L8" i="1"/>
  <c r="L9" i="1"/>
  <c r="L11" i="1"/>
  <c r="L12" i="1"/>
  <c r="L13" i="1"/>
  <c r="L14" i="1"/>
  <c r="L15" i="1"/>
  <c r="L17" i="1"/>
  <c r="L18" i="1"/>
  <c r="L19" i="1"/>
  <c r="L20" i="1"/>
  <c r="L22" i="1"/>
  <c r="L23" i="1"/>
  <c r="L24" i="1"/>
  <c r="L25" i="1"/>
  <c r="H26" i="1"/>
  <c r="L26" i="1"/>
  <c r="M26" i="1"/>
  <c r="N26" i="1" s="1"/>
  <c r="E4" i="66"/>
  <c r="E6" i="66"/>
  <c r="E10" i="66"/>
  <c r="E12" i="66"/>
  <c r="E14" i="66"/>
  <c r="E18" i="66"/>
  <c r="E20" i="66"/>
  <c r="E22" i="66"/>
  <c r="E26" i="66"/>
  <c r="E28" i="66"/>
  <c r="E30" i="66"/>
  <c r="E34" i="66"/>
  <c r="E36" i="66"/>
  <c r="E38" i="66"/>
  <c r="G44" i="67"/>
  <c r="I44" i="67"/>
  <c r="J44" i="67" s="1"/>
  <c r="G42" i="67"/>
  <c r="I42" i="67"/>
  <c r="J42" i="67" s="1"/>
  <c r="F45" i="67"/>
  <c r="H30" i="67"/>
  <c r="E41" i="67"/>
  <c r="G29" i="67"/>
  <c r="I29" i="67"/>
  <c r="F40" i="66"/>
  <c r="E40" i="66"/>
  <c r="I27" i="67"/>
  <c r="I25" i="67"/>
  <c r="I23" i="67"/>
  <c r="J23" i="67" s="1"/>
  <c r="I21" i="67"/>
  <c r="J21" i="67" s="1"/>
  <c r="I19" i="67"/>
  <c r="I17" i="67"/>
  <c r="I15" i="67"/>
  <c r="J15" i="67" s="1"/>
  <c r="I13" i="67"/>
  <c r="J13" i="67" s="1"/>
  <c r="I11" i="67"/>
  <c r="I9" i="67"/>
  <c r="I7" i="67"/>
  <c r="C23" i="73"/>
  <c r="B23" i="73"/>
  <c r="G43" i="67"/>
  <c r="G45" i="67" s="1"/>
  <c r="I43" i="67"/>
  <c r="D5" i="67"/>
  <c r="C41" i="67"/>
  <c r="G36" i="67"/>
  <c r="I34" i="67"/>
  <c r="I22" i="1"/>
  <c r="N19" i="1"/>
  <c r="I12" i="1"/>
  <c r="N9" i="1"/>
  <c r="D16" i="4"/>
  <c r="H18" i="4"/>
  <c r="N25" i="1"/>
  <c r="I18" i="1"/>
  <c r="N15" i="1"/>
  <c r="I8" i="1"/>
  <c r="N6" i="1"/>
  <c r="F15" i="4"/>
  <c r="I19" i="1"/>
  <c r="N7" i="1"/>
  <c r="J21" i="51"/>
  <c r="J20" i="51"/>
  <c r="J19" i="51"/>
  <c r="J16" i="51"/>
  <c r="J15" i="51"/>
  <c r="J13" i="51"/>
  <c r="J11" i="51"/>
  <c r="J9" i="51"/>
  <c r="J8" i="51"/>
  <c r="J5" i="51"/>
  <c r="J4" i="51"/>
  <c r="I24" i="1"/>
  <c r="N17" i="1"/>
  <c r="I9" i="1"/>
  <c r="I25" i="1"/>
  <c r="N18" i="1"/>
  <c r="I15" i="1"/>
  <c r="I26" i="1" s="1"/>
  <c r="N8" i="1"/>
  <c r="E16" i="4"/>
  <c r="D15" i="4"/>
  <c r="H23" i="61"/>
  <c r="C3" i="64"/>
  <c r="C4" i="64"/>
  <c r="C5" i="64"/>
  <c r="C6" i="64"/>
  <c r="C7" i="64"/>
  <c r="C8" i="64"/>
  <c r="C9" i="64"/>
  <c r="C10" i="64"/>
  <c r="C11" i="64"/>
  <c r="C12" i="64"/>
  <c r="C13" i="64"/>
  <c r="C14" i="64"/>
  <c r="C15" i="64"/>
  <c r="C16" i="64"/>
  <c r="C17" i="64"/>
  <c r="C18" i="64"/>
  <c r="C19" i="64"/>
  <c r="C20" i="64"/>
  <c r="C21" i="64"/>
  <c r="C22" i="64"/>
  <c r="C23" i="64"/>
  <c r="C24" i="64"/>
  <c r="C25" i="64"/>
  <c r="C26" i="64"/>
  <c r="C34" i="64"/>
  <c r="C30" i="64"/>
  <c r="D21" i="68"/>
  <c r="J21" i="68"/>
  <c r="L21" i="68" s="1"/>
  <c r="I21" i="68"/>
  <c r="E3" i="56"/>
  <c r="E5" i="56"/>
  <c r="E7" i="56"/>
  <c r="E9" i="56"/>
  <c r="E11" i="56"/>
  <c r="E13" i="56"/>
  <c r="E15" i="56"/>
  <c r="E17" i="56"/>
  <c r="E22" i="56"/>
  <c r="E21" i="56"/>
  <c r="E12" i="56"/>
  <c r="E4" i="56"/>
  <c r="E4" i="58"/>
  <c r="E6" i="58"/>
  <c r="E8" i="58"/>
  <c r="E10" i="58"/>
  <c r="E12" i="58"/>
  <c r="E14" i="58"/>
  <c r="E16" i="58"/>
  <c r="E18" i="58"/>
  <c r="E20" i="58"/>
  <c r="E22" i="58"/>
  <c r="E21" i="58"/>
  <c r="E13" i="58"/>
  <c r="E5" i="58"/>
  <c r="F38" i="64"/>
  <c r="E36" i="64"/>
  <c r="C35" i="64"/>
  <c r="G33" i="64"/>
  <c r="E32" i="64"/>
  <c r="C31" i="64"/>
  <c r="C27" i="64"/>
  <c r="I35" i="67"/>
  <c r="G32" i="67"/>
  <c r="H32" i="67"/>
  <c r="I22" i="67"/>
  <c r="J22" i="67" s="1"/>
  <c r="D17" i="68"/>
  <c r="J17" i="68" s="1"/>
  <c r="L17" i="68" s="1"/>
  <c r="I17" i="68"/>
  <c r="D32" i="63"/>
  <c r="E3" i="64"/>
  <c r="E4" i="64"/>
  <c r="E5" i="64"/>
  <c r="E6" i="64"/>
  <c r="E7" i="64"/>
  <c r="E8" i="64"/>
  <c r="E9" i="64"/>
  <c r="E10" i="64"/>
  <c r="E11" i="64"/>
  <c r="E12" i="64"/>
  <c r="E13" i="64"/>
  <c r="E14" i="64"/>
  <c r="E15" i="64"/>
  <c r="E16" i="64"/>
  <c r="E17" i="64"/>
  <c r="E18" i="64"/>
  <c r="E19" i="64"/>
  <c r="E20" i="64"/>
  <c r="E21" i="64"/>
  <c r="E22" i="64"/>
  <c r="E23" i="64"/>
  <c r="E24" i="64"/>
  <c r="E25" i="64"/>
  <c r="E26" i="64"/>
  <c r="E37" i="64"/>
  <c r="C36" i="64"/>
  <c r="E33" i="64"/>
  <c r="C32" i="64"/>
  <c r="E29" i="64"/>
  <c r="C28" i="64"/>
  <c r="D33" i="67"/>
  <c r="H33" i="67"/>
  <c r="J33" i="67" s="1"/>
  <c r="C24" i="68"/>
  <c r="D13" i="68"/>
  <c r="J13" i="68" s="1"/>
  <c r="L13" i="68" s="1"/>
  <c r="I13" i="68"/>
  <c r="J8" i="68"/>
  <c r="L8" i="68" s="1"/>
  <c r="M21" i="74"/>
  <c r="H24" i="74"/>
  <c r="C12" i="52"/>
  <c r="C8" i="52"/>
  <c r="C19" i="56"/>
  <c r="E16" i="56"/>
  <c r="C14" i="56"/>
  <c r="C11" i="56"/>
  <c r="E8" i="56"/>
  <c r="C6" i="56"/>
  <c r="C3" i="56"/>
  <c r="C20" i="58"/>
  <c r="E17" i="58"/>
  <c r="C15" i="58"/>
  <c r="C12" i="58"/>
  <c r="E9" i="58"/>
  <c r="C7" i="58"/>
  <c r="D46" i="62"/>
  <c r="C37" i="64"/>
  <c r="E34" i="64"/>
  <c r="C33" i="64"/>
  <c r="G31" i="64"/>
  <c r="E30" i="64"/>
  <c r="C29" i="64"/>
  <c r="G20" i="64"/>
  <c r="I28" i="67"/>
  <c r="D28" i="67"/>
  <c r="I20" i="67"/>
  <c r="D9" i="68"/>
  <c r="J9" i="68" s="1"/>
  <c r="L9" i="68" s="1"/>
  <c r="I9" i="68"/>
  <c r="G38" i="65"/>
  <c r="J4" i="65"/>
  <c r="B41" i="67"/>
  <c r="D32" i="67"/>
  <c r="I30" i="67"/>
  <c r="J30" i="67"/>
  <c r="F41" i="67"/>
  <c r="F24" i="68"/>
  <c r="I23" i="68"/>
  <c r="D19" i="68"/>
  <c r="J19" i="68" s="1"/>
  <c r="L19" i="68" s="1"/>
  <c r="I19" i="68"/>
  <c r="D15" i="68"/>
  <c r="J15" i="68"/>
  <c r="L15" i="68" s="1"/>
  <c r="I15" i="68"/>
  <c r="D11" i="68"/>
  <c r="J11" i="68"/>
  <c r="L11" i="68" s="1"/>
  <c r="I11" i="68"/>
  <c r="D39" i="69"/>
  <c r="D38" i="65"/>
  <c r="D18" i="68"/>
  <c r="J18" i="68"/>
  <c r="L18" i="68" s="1"/>
  <c r="I18" i="68"/>
  <c r="D14" i="68"/>
  <c r="J14" i="68"/>
  <c r="L14" i="68" s="1"/>
  <c r="I14" i="68"/>
  <c r="D10" i="68"/>
  <c r="J10" i="68" s="1"/>
  <c r="L10" i="68" s="1"/>
  <c r="I10" i="68"/>
  <c r="H24" i="68"/>
  <c r="I7" i="68"/>
  <c r="I5" i="68"/>
  <c r="H38" i="65"/>
  <c r="F45" i="66"/>
  <c r="H40" i="67"/>
  <c r="D20" i="68"/>
  <c r="J20" i="68" s="1"/>
  <c r="L20" i="68" s="1"/>
  <c r="I20" i="68"/>
  <c r="D16" i="68"/>
  <c r="J16" i="68" s="1"/>
  <c r="L16" i="68" s="1"/>
  <c r="I16" i="68"/>
  <c r="D12" i="68"/>
  <c r="J12" i="68" s="1"/>
  <c r="L12" i="68" s="1"/>
  <c r="I12" i="68"/>
  <c r="D40" i="70"/>
  <c r="D22" i="73"/>
  <c r="D14" i="73"/>
  <c r="G12" i="64"/>
  <c r="G18" i="64"/>
  <c r="G30" i="64"/>
  <c r="G24" i="64"/>
  <c r="G6" i="64"/>
  <c r="G9" i="64"/>
  <c r="G7" i="64"/>
  <c r="G15" i="64"/>
  <c r="G23" i="64"/>
  <c r="G3" i="64"/>
  <c r="G11" i="64"/>
  <c r="G19" i="64"/>
  <c r="G14" i="64"/>
  <c r="G32" i="64"/>
  <c r="G13" i="64"/>
  <c r="G27" i="64"/>
  <c r="G8" i="64"/>
  <c r="G29" i="64"/>
  <c r="G22" i="64"/>
  <c r="G17" i="64"/>
  <c r="G4" i="64"/>
  <c r="G10" i="64"/>
  <c r="G34" i="64"/>
  <c r="G16" i="64"/>
  <c r="G28" i="64"/>
  <c r="G36" i="64"/>
  <c r="G5" i="64"/>
  <c r="G21" i="64"/>
  <c r="F3" i="51" l="1"/>
  <c r="F19" i="51"/>
  <c r="F8" i="51"/>
  <c r="F15" i="51"/>
  <c r="F5" i="51"/>
  <c r="F14" i="51"/>
  <c r="F4" i="51"/>
  <c r="C3" i="66"/>
  <c r="C7" i="66"/>
  <c r="C11" i="66"/>
  <c r="C15" i="66"/>
  <c r="C19" i="66"/>
  <c r="C23" i="66"/>
  <c r="C27" i="66"/>
  <c r="C31" i="66"/>
  <c r="C35" i="66"/>
  <c r="C39" i="66"/>
  <c r="C9" i="66"/>
  <c r="C13" i="66"/>
  <c r="C25" i="66"/>
  <c r="C37" i="66"/>
  <c r="C4" i="66"/>
  <c r="C8" i="66"/>
  <c r="C12" i="66"/>
  <c r="C16" i="66"/>
  <c r="C20" i="66"/>
  <c r="C24" i="66"/>
  <c r="C28" i="66"/>
  <c r="C32" i="66"/>
  <c r="C36" i="66"/>
  <c r="C17" i="66"/>
  <c r="C29" i="66"/>
  <c r="C5" i="66"/>
  <c r="C21" i="66"/>
  <c r="C33" i="66"/>
  <c r="C41" i="66"/>
  <c r="C6" i="66"/>
  <c r="C10" i="66"/>
  <c r="C14" i="66"/>
  <c r="C18" i="66"/>
  <c r="C22" i="66"/>
  <c r="C26" i="66"/>
  <c r="C30" i="66"/>
  <c r="C34" i="66"/>
  <c r="C38" i="66"/>
  <c r="C40" i="66"/>
  <c r="G12" i="52"/>
  <c r="G4" i="52"/>
  <c r="G3" i="52"/>
  <c r="G5" i="52"/>
  <c r="G11" i="52"/>
  <c r="G13" i="52"/>
  <c r="E23" i="56"/>
  <c r="J25" i="67"/>
  <c r="D18" i="4"/>
  <c r="I16" i="4"/>
  <c r="J22" i="65"/>
  <c r="J21" i="65"/>
  <c r="J20" i="65"/>
  <c r="J19" i="65"/>
  <c r="D38" i="67"/>
  <c r="D37" i="67"/>
  <c r="D30" i="67"/>
  <c r="J24" i="67"/>
  <c r="F16" i="4"/>
  <c r="F22" i="51"/>
  <c r="F18" i="51"/>
  <c r="F16" i="51"/>
  <c r="J23" i="68"/>
  <c r="L23" i="68" s="1"/>
  <c r="C38" i="64"/>
  <c r="C16" i="4"/>
  <c r="E6" i="56"/>
  <c r="I40" i="67"/>
  <c r="I36" i="67"/>
  <c r="J36" i="67" s="1"/>
  <c r="D36" i="67"/>
  <c r="D34" i="67"/>
  <c r="D20" i="67"/>
  <c r="D6" i="67"/>
  <c r="D4" i="67"/>
  <c r="J35" i="67"/>
  <c r="J7" i="51"/>
  <c r="J17" i="51"/>
  <c r="J7" i="67"/>
  <c r="D24" i="62"/>
  <c r="D51" i="62" s="1"/>
  <c r="J8" i="65"/>
  <c r="J6" i="65"/>
  <c r="J5" i="65"/>
  <c r="D24" i="67"/>
  <c r="D23" i="67"/>
  <c r="D21" i="67"/>
  <c r="D11" i="67"/>
  <c r="H6" i="67"/>
  <c r="J6" i="67" s="1"/>
  <c r="J7" i="68"/>
  <c r="L7" i="68" s="1"/>
  <c r="J6" i="68"/>
  <c r="L6" i="68" s="1"/>
  <c r="D17" i="73"/>
  <c r="D15" i="73"/>
  <c r="D13" i="73"/>
  <c r="D11" i="73"/>
  <c r="C9" i="57"/>
  <c r="J28" i="67"/>
  <c r="D24" i="68"/>
  <c r="E15" i="4"/>
  <c r="G18" i="4"/>
  <c r="B15" i="4"/>
  <c r="J16" i="4"/>
  <c r="G19" i="4"/>
  <c r="I21" i="4"/>
  <c r="F21" i="4"/>
  <c r="F18" i="4"/>
  <c r="J12" i="4"/>
  <c r="H21" i="4"/>
  <c r="C18" i="4"/>
  <c r="C20" i="4"/>
  <c r="F17" i="4"/>
  <c r="C15" i="4"/>
  <c r="I17" i="4"/>
  <c r="B20" i="4"/>
  <c r="I20" i="4"/>
  <c r="D17" i="4"/>
  <c r="C21" i="4"/>
  <c r="B17" i="4"/>
  <c r="I18" i="4"/>
  <c r="B19" i="4"/>
  <c r="E21" i="4"/>
  <c r="D19" i="4"/>
  <c r="F34" i="3"/>
  <c r="G11" i="3" s="1"/>
  <c r="E19" i="4"/>
  <c r="D20" i="4"/>
  <c r="F20" i="4"/>
  <c r="G15" i="4"/>
  <c r="I19" i="4"/>
  <c r="I6" i="1"/>
  <c r="I17" i="1"/>
  <c r="I7" i="1"/>
  <c r="I23" i="1"/>
  <c r="I13" i="1"/>
  <c r="I14" i="1"/>
  <c r="N23" i="1"/>
  <c r="N13" i="1"/>
  <c r="N24" i="1"/>
  <c r="N14" i="1"/>
  <c r="N4" i="1"/>
  <c r="N20" i="1"/>
  <c r="N11" i="1"/>
  <c r="N22" i="1"/>
  <c r="N12" i="1"/>
  <c r="I20" i="1"/>
  <c r="I11" i="1"/>
  <c r="G32" i="3"/>
  <c r="C16" i="58"/>
  <c r="C8" i="58"/>
  <c r="J24" i="65"/>
  <c r="J23" i="65"/>
  <c r="J16" i="65"/>
  <c r="I38" i="65"/>
  <c r="J26" i="67"/>
  <c r="J16" i="67"/>
  <c r="J8" i="67"/>
  <c r="D18" i="73"/>
  <c r="I23" i="53"/>
  <c r="C21" i="58"/>
  <c r="C13" i="58"/>
  <c r="D13" i="63"/>
  <c r="D37" i="63" s="1"/>
  <c r="J22" i="68"/>
  <c r="L22" i="68" s="1"/>
  <c r="J20" i="67"/>
  <c r="F6" i="51"/>
  <c r="F11" i="51"/>
  <c r="J19" i="4"/>
  <c r="R25" i="48"/>
  <c r="E23" i="53"/>
  <c r="E19" i="58"/>
  <c r="E11" i="58"/>
  <c r="G40" i="67"/>
  <c r="I38" i="67"/>
  <c r="J38" i="67" s="1"/>
  <c r="H34" i="67"/>
  <c r="J34" i="67" s="1"/>
  <c r="H31" i="67"/>
  <c r="J31" i="67" s="1"/>
  <c r="D29" i="67"/>
  <c r="D27" i="67"/>
  <c r="H20" i="67"/>
  <c r="H19" i="67"/>
  <c r="J19" i="67" s="1"/>
  <c r="D18" i="67"/>
  <c r="D17" i="67"/>
  <c r="H12" i="67"/>
  <c r="J12" i="67" s="1"/>
  <c r="H11" i="67"/>
  <c r="J11" i="67" s="1"/>
  <c r="D10" i="67"/>
  <c r="D9" i="67"/>
  <c r="H4" i="67"/>
  <c r="J4" i="67" s="1"/>
  <c r="I4" i="68"/>
  <c r="D16" i="73"/>
  <c r="D12" i="73"/>
  <c r="D9" i="73"/>
  <c r="D4" i="73"/>
  <c r="J40" i="67"/>
  <c r="F7" i="51"/>
  <c r="F12" i="51"/>
  <c r="C9" i="52"/>
  <c r="C4" i="58"/>
  <c r="C17" i="58"/>
  <c r="C9" i="58"/>
  <c r="D23" i="61"/>
  <c r="F42" i="64"/>
  <c r="J36" i="65"/>
  <c r="J35" i="65"/>
  <c r="J10" i="65"/>
  <c r="D40" i="67"/>
  <c r="I37" i="67"/>
  <c r="J37" i="67" s="1"/>
  <c r="D35" i="67"/>
  <c r="G34" i="67"/>
  <c r="I32" i="67"/>
  <c r="J32" i="67" s="1"/>
  <c r="G30" i="67"/>
  <c r="H29" i="67"/>
  <c r="J29" i="67" s="1"/>
  <c r="H27" i="67"/>
  <c r="J27" i="67" s="1"/>
  <c r="D26" i="67"/>
  <c r="D25" i="67"/>
  <c r="D22" i="67"/>
  <c r="H18" i="67"/>
  <c r="J18" i="67" s="1"/>
  <c r="H17" i="67"/>
  <c r="J17" i="67" s="1"/>
  <c r="D16" i="67"/>
  <c r="D15" i="67"/>
  <c r="H10" i="67"/>
  <c r="J10" i="67" s="1"/>
  <c r="H9" i="67"/>
  <c r="J9" i="67" s="1"/>
  <c r="D8" i="67"/>
  <c r="D7" i="67"/>
  <c r="J5" i="67"/>
  <c r="G22" i="68"/>
  <c r="D19" i="73"/>
  <c r="M5" i="74"/>
  <c r="M24" i="74" s="1"/>
  <c r="G14" i="52"/>
  <c r="G10" i="52"/>
  <c r="G31" i="3"/>
  <c r="G9" i="52"/>
  <c r="D41" i="67"/>
  <c r="G6" i="52"/>
  <c r="G15" i="52"/>
  <c r="G7" i="52"/>
  <c r="G28" i="3"/>
  <c r="G30" i="3"/>
  <c r="G25" i="64"/>
  <c r="G26" i="64"/>
  <c r="G35" i="64"/>
  <c r="G37" i="64"/>
  <c r="G8" i="52"/>
  <c r="J12" i="2"/>
  <c r="J13" i="2" s="1"/>
  <c r="J21" i="4"/>
  <c r="H17" i="4"/>
  <c r="J17" i="4"/>
  <c r="E5" i="66"/>
  <c r="E9" i="66"/>
  <c r="E13" i="66"/>
  <c r="E17" i="66"/>
  <c r="E21" i="66"/>
  <c r="E25" i="66"/>
  <c r="E29" i="66"/>
  <c r="E33" i="66"/>
  <c r="E37" i="66"/>
  <c r="E3" i="66"/>
  <c r="E7" i="66"/>
  <c r="E11" i="66"/>
  <c r="E15" i="66"/>
  <c r="E19" i="66"/>
  <c r="E23" i="66"/>
  <c r="E27" i="66"/>
  <c r="E31" i="66"/>
  <c r="E35" i="66"/>
  <c r="E41" i="66"/>
  <c r="F41" i="66"/>
  <c r="G40" i="66" s="1"/>
  <c r="D21" i="4"/>
  <c r="G16" i="4"/>
  <c r="J43" i="67"/>
  <c r="J45" i="67" s="1"/>
  <c r="B21" i="4"/>
  <c r="C17" i="4"/>
  <c r="F19" i="4"/>
  <c r="G21" i="4"/>
  <c r="J15" i="4"/>
  <c r="E18" i="4"/>
  <c r="H20" i="4"/>
  <c r="F16" i="53"/>
  <c r="F20" i="53"/>
  <c r="I15" i="4"/>
  <c r="G17" i="4"/>
  <c r="G20" i="4"/>
  <c r="J6" i="51"/>
  <c r="J10" i="51"/>
  <c r="J14" i="51"/>
  <c r="J18" i="51"/>
  <c r="J22" i="51"/>
  <c r="F17" i="53"/>
  <c r="H16" i="4"/>
  <c r="H19" i="4"/>
  <c r="F9" i="51"/>
  <c r="F13" i="51"/>
  <c r="F17" i="51"/>
  <c r="F21" i="51"/>
  <c r="J20" i="4"/>
  <c r="C19" i="4"/>
  <c r="E17" i="4"/>
  <c r="E22" i="4" s="1"/>
  <c r="B16" i="4"/>
  <c r="H15" i="4"/>
  <c r="B18" i="4"/>
  <c r="E20" i="4"/>
  <c r="F22" i="53"/>
  <c r="F10" i="53"/>
  <c r="J19" i="53"/>
  <c r="I45" i="67"/>
  <c r="E32" i="66"/>
  <c r="E24" i="66"/>
  <c r="E16" i="66"/>
  <c r="E8" i="66"/>
  <c r="J18" i="4"/>
  <c r="H34" i="5"/>
  <c r="H45" i="67"/>
  <c r="J5" i="68"/>
  <c r="L5" i="68" s="1"/>
  <c r="C14" i="52"/>
  <c r="C7" i="52"/>
  <c r="C5" i="52"/>
  <c r="C20" i="56"/>
  <c r="C15" i="56"/>
  <c r="C7" i="56"/>
  <c r="C5" i="58"/>
  <c r="E28" i="64"/>
  <c r="E27" i="64"/>
  <c r="G4" i="68"/>
  <c r="G5" i="74"/>
  <c r="G24" i="74" s="1"/>
  <c r="C18" i="56"/>
  <c r="C10" i="56"/>
  <c r="C15" i="52"/>
  <c r="C13" i="52"/>
  <c r="C6" i="52"/>
  <c r="C22" i="56"/>
  <c r="C17" i="56"/>
  <c r="C13" i="56"/>
  <c r="C9" i="56"/>
  <c r="C5" i="56"/>
  <c r="C19" i="58"/>
  <c r="E15" i="58"/>
  <c r="C11" i="58"/>
  <c r="C3" i="58"/>
  <c r="E35" i="64"/>
  <c r="C4" i="52"/>
  <c r="C10" i="52"/>
  <c r="C21" i="56"/>
  <c r="C16" i="56"/>
  <c r="C12" i="56"/>
  <c r="C8" i="56"/>
  <c r="C22" i="58"/>
  <c r="C18" i="58"/>
  <c r="C14" i="58"/>
  <c r="C10" i="58"/>
  <c r="E45" i="67"/>
  <c r="I6" i="68"/>
  <c r="I24" i="74"/>
  <c r="D22" i="4" l="1"/>
  <c r="D23" i="73"/>
  <c r="G41" i="67"/>
  <c r="E38" i="64"/>
  <c r="J41" i="67"/>
  <c r="J23" i="51"/>
  <c r="G29" i="3"/>
  <c r="J20" i="53"/>
  <c r="J21" i="53"/>
  <c r="J14" i="53"/>
  <c r="J4" i="53"/>
  <c r="J22" i="53"/>
  <c r="J9" i="53"/>
  <c r="J15" i="53"/>
  <c r="J5" i="53"/>
  <c r="J3" i="53"/>
  <c r="J10" i="53"/>
  <c r="J16" i="53"/>
  <c r="J7" i="53"/>
  <c r="J6" i="53"/>
  <c r="J12" i="53"/>
  <c r="J13" i="53"/>
  <c r="J11" i="53"/>
  <c r="J18" i="53"/>
  <c r="J8" i="53"/>
  <c r="E23" i="58"/>
  <c r="F22" i="4"/>
  <c r="B35" i="3"/>
  <c r="G10" i="3"/>
  <c r="G8" i="3"/>
  <c r="G15" i="3"/>
  <c r="G18" i="3"/>
  <c r="G7" i="3"/>
  <c r="G9" i="3"/>
  <c r="G27" i="3"/>
  <c r="G23" i="3"/>
  <c r="G17" i="3"/>
  <c r="G14" i="3"/>
  <c r="G24" i="3"/>
  <c r="E35" i="3"/>
  <c r="G6" i="3"/>
  <c r="G25" i="3"/>
  <c r="G20" i="3"/>
  <c r="G21" i="3"/>
  <c r="G33" i="3"/>
  <c r="G19" i="3"/>
  <c r="G16" i="3"/>
  <c r="G22" i="3"/>
  <c r="G12" i="3"/>
  <c r="G5" i="3"/>
  <c r="F23" i="51"/>
  <c r="I22" i="4"/>
  <c r="G4" i="3"/>
  <c r="C35" i="3"/>
  <c r="D35" i="3"/>
  <c r="F19" i="53"/>
  <c r="F14" i="53"/>
  <c r="F11" i="53"/>
  <c r="F7" i="53"/>
  <c r="F5" i="53"/>
  <c r="F21" i="53"/>
  <c r="F8" i="53"/>
  <c r="F9" i="53"/>
  <c r="F18" i="53"/>
  <c r="F13" i="53"/>
  <c r="F4" i="53"/>
  <c r="F3" i="53"/>
  <c r="F15" i="53"/>
  <c r="F6" i="53"/>
  <c r="I41" i="67"/>
  <c r="I24" i="68"/>
  <c r="J17" i="53"/>
  <c r="F12" i="53"/>
  <c r="G38" i="64"/>
  <c r="H41" i="67"/>
  <c r="G26" i="3"/>
  <c r="J38" i="65"/>
  <c r="G13" i="3"/>
  <c r="C16" i="52"/>
  <c r="H22" i="4"/>
  <c r="C23" i="56"/>
  <c r="G22" i="4"/>
  <c r="B22" i="4"/>
  <c r="C22" i="4"/>
  <c r="G16" i="52"/>
  <c r="C23" i="58"/>
  <c r="J4" i="68"/>
  <c r="G24" i="68"/>
  <c r="J22" i="4"/>
  <c r="G3" i="66"/>
  <c r="G30" i="66"/>
  <c r="G27" i="66"/>
  <c r="G21" i="66"/>
  <c r="G28" i="66"/>
  <c r="G15" i="66"/>
  <c r="G26" i="66"/>
  <c r="G18" i="66"/>
  <c r="G17" i="66"/>
  <c r="G32" i="66"/>
  <c r="G8" i="66"/>
  <c r="G19" i="66"/>
  <c r="G6" i="66"/>
  <c r="G11" i="66"/>
  <c r="G35" i="66"/>
  <c r="G29" i="66"/>
  <c r="G12" i="66"/>
  <c r="G31" i="66"/>
  <c r="G13" i="66"/>
  <c r="G41" i="66"/>
  <c r="G7" i="66"/>
  <c r="G36" i="66"/>
  <c r="G10" i="66"/>
  <c r="G25" i="66"/>
  <c r="G22" i="66"/>
  <c r="G38" i="66"/>
  <c r="G37" i="66"/>
  <c r="G4" i="66"/>
  <c r="G39" i="66"/>
  <c r="G9" i="66"/>
  <c r="G24" i="66"/>
  <c r="G34" i="66"/>
  <c r="G14" i="66"/>
  <c r="G16" i="66"/>
  <c r="G5" i="66"/>
  <c r="G20" i="66"/>
  <c r="G23" i="66"/>
  <c r="G33" i="66"/>
  <c r="G13" i="2"/>
  <c r="C13" i="2"/>
  <c r="E15" i="2"/>
  <c r="C17" i="2"/>
  <c r="J18" i="2"/>
  <c r="H13" i="2"/>
  <c r="I16" i="2"/>
  <c r="C14" i="2"/>
  <c r="C18" i="2"/>
  <c r="I13" i="2"/>
  <c r="G15" i="2"/>
  <c r="E17" i="2"/>
  <c r="C19" i="2"/>
  <c r="H15" i="2"/>
  <c r="F17" i="2"/>
  <c r="D19" i="2"/>
  <c r="F14" i="2"/>
  <c r="D16" i="2"/>
  <c r="B18" i="2"/>
  <c r="I19" i="2"/>
  <c r="F15" i="2"/>
  <c r="G18" i="2"/>
  <c r="J15" i="2"/>
  <c r="J19" i="2"/>
  <c r="H14" i="2"/>
  <c r="F16" i="2"/>
  <c r="D18" i="2"/>
  <c r="B13" i="2"/>
  <c r="I14" i="2"/>
  <c r="G16" i="2"/>
  <c r="E18" i="2"/>
  <c r="J14" i="2"/>
  <c r="H16" i="2"/>
  <c r="F18" i="2"/>
  <c r="D13" i="2"/>
  <c r="E16" i="2"/>
  <c r="F19" i="2"/>
  <c r="D17" i="2"/>
  <c r="E13" i="2"/>
  <c r="C15" i="2"/>
  <c r="J16" i="2"/>
  <c r="H18" i="2"/>
  <c r="F13" i="2"/>
  <c r="D15" i="2"/>
  <c r="B17" i="2"/>
  <c r="I18" i="2"/>
  <c r="E19" i="2"/>
  <c r="B19" i="2"/>
  <c r="G19" i="2"/>
  <c r="H19" i="2"/>
  <c r="H17" i="2"/>
  <c r="B14" i="2"/>
  <c r="G14" i="2"/>
  <c r="D14" i="2"/>
  <c r="E14" i="2"/>
  <c r="I15" i="2"/>
  <c r="B16" i="2"/>
  <c r="C16" i="2"/>
  <c r="G17" i="2"/>
  <c r="B15" i="2"/>
  <c r="I17" i="2"/>
  <c r="J17" i="2"/>
  <c r="F23" i="53" l="1"/>
  <c r="G34" i="3"/>
  <c r="J23" i="53"/>
  <c r="L4" i="68"/>
  <c r="L24" i="68" s="1"/>
  <c r="J24" i="68"/>
</calcChain>
</file>

<file path=xl/sharedStrings.xml><?xml version="1.0" encoding="utf-8"?>
<sst xmlns="http://schemas.openxmlformats.org/spreadsheetml/2006/main" count="1380" uniqueCount="651">
  <si>
    <t>2007/2008</t>
  </si>
  <si>
    <t>2008/2009</t>
  </si>
  <si>
    <t>2009/2010</t>
  </si>
  <si>
    <t>I</t>
  </si>
  <si>
    <t>I+II</t>
  </si>
  <si>
    <t>II</t>
  </si>
  <si>
    <t>III</t>
  </si>
  <si>
    <t>Tabuľka č. 1: Počet a štruktúra študentov podľa formy, stupňa štúdia a typu vysokej školy</t>
  </si>
  <si>
    <t>SR</t>
  </si>
  <si>
    <t>študijné programy so spojeným prvým a druhým stupňom</t>
  </si>
  <si>
    <t>denná forma</t>
  </si>
  <si>
    <t>externá forma</t>
  </si>
  <si>
    <t>denná</t>
  </si>
  <si>
    <t>externá</t>
  </si>
  <si>
    <t>Poľnohosp.-lesnícke a veterinárne vedy a náuky</t>
  </si>
  <si>
    <t>Prírodné vedy</t>
  </si>
  <si>
    <t>Spoločenské vedy, náuky a služby</t>
  </si>
  <si>
    <t>Technické vedy a náuky</t>
  </si>
  <si>
    <t>Vedy a náuky o kultúre a umení</t>
  </si>
  <si>
    <t>Vojenské a bezpečnostné vedy a náuky</t>
  </si>
  <si>
    <t>Zdravotníctvo</t>
  </si>
  <si>
    <t>Spolu</t>
  </si>
  <si>
    <t>Typ vysokej školy</t>
  </si>
  <si>
    <t>Stupeň štúdia</t>
  </si>
  <si>
    <t>Skupina študijných odborov</t>
  </si>
  <si>
    <t xml:space="preserve"> v % vyjadrení</t>
  </si>
  <si>
    <t>spolu</t>
  </si>
  <si>
    <t>z toho
denne</t>
  </si>
  <si>
    <t>Zdroj: UIPŠ</t>
  </si>
  <si>
    <t>UK Bratislava</t>
  </si>
  <si>
    <t>STU Bratislava</t>
  </si>
  <si>
    <t>TU Košice</t>
  </si>
  <si>
    <t>VŠZaSP Bratislava</t>
  </si>
  <si>
    <t>EU Bratislava</t>
  </si>
  <si>
    <t>UMB B. Bystrica</t>
  </si>
  <si>
    <t>UKF Nitra</t>
  </si>
  <si>
    <t>ŽU Žililna</t>
  </si>
  <si>
    <t>PU Prešov</t>
  </si>
  <si>
    <t>SPU Nitra</t>
  </si>
  <si>
    <t>UPJŠ Košice</t>
  </si>
  <si>
    <t>TvU Trnava</t>
  </si>
  <si>
    <t>KU Ružomberok</t>
  </si>
  <si>
    <t>UCM Trnava</t>
  </si>
  <si>
    <t>VŠEMVS Bratislava</t>
  </si>
  <si>
    <t>TU Zvolen</t>
  </si>
  <si>
    <t>DTI Dubnica</t>
  </si>
  <si>
    <t>VŠBM Košice</t>
  </si>
  <si>
    <t>VŠ Sládkovičovo</t>
  </si>
  <si>
    <t>UJS Komárno</t>
  </si>
  <si>
    <t>VŠMU Bratislava</t>
  </si>
  <si>
    <t>SVŠ Skalica</t>
  </si>
  <si>
    <t>VŠMP Prešov</t>
  </si>
  <si>
    <t>VŠVU Bratislava</t>
  </si>
  <si>
    <t>AU B. Bystrica</t>
  </si>
  <si>
    <t>BISLA</t>
  </si>
  <si>
    <t>Stupeň</t>
  </si>
  <si>
    <t>Vysoká škola</t>
  </si>
  <si>
    <t>I alebo II</t>
  </si>
  <si>
    <t>ŽU Žilina</t>
  </si>
  <si>
    <t>VŠZSP Bratislava</t>
  </si>
  <si>
    <t>VŠM Trenčín</t>
  </si>
  <si>
    <t>SEVŠ Skalica</t>
  </si>
  <si>
    <t xml:space="preserve">Prihlášky </t>
  </si>
  <si>
    <t>Prihlásení</t>
  </si>
  <si>
    <t>Prihlášky / prihlásení</t>
  </si>
  <si>
    <t>Prijatia</t>
  </si>
  <si>
    <t>Prijatí</t>
  </si>
  <si>
    <t>Prijatých
z prihlásených</t>
  </si>
  <si>
    <t>Zápisov</t>
  </si>
  <si>
    <t>Zapísaní</t>
  </si>
  <si>
    <t>Zapísaní
z  prijatých</t>
  </si>
  <si>
    <t>Zapísaní
z prihlásených</t>
  </si>
  <si>
    <t>TECHNICKÉ VEDY A NÁUKY</t>
  </si>
  <si>
    <t>POĽN.- LESNÍCKE A VETERINÁRNE VEDY A NÁUKY</t>
  </si>
  <si>
    <t>ZDRAVOTNÍCTVO</t>
  </si>
  <si>
    <t>SPOLOČENSKÉ VEDY, NÁUKY A SLUŽBY</t>
  </si>
  <si>
    <t>VEDY A NÁUKY O KULTÚRE A UMENÍ</t>
  </si>
  <si>
    <t>VOJENSKÉ A BEZPEČNOSTNÉ VEDY A NÁUKY</t>
  </si>
  <si>
    <t>počet</t>
  </si>
  <si>
    <t>podiel</t>
  </si>
  <si>
    <t>denná forma štúdia</t>
  </si>
  <si>
    <t>21-25</t>
  </si>
  <si>
    <t>26-30</t>
  </si>
  <si>
    <t>31-35</t>
  </si>
  <si>
    <t>36-40</t>
  </si>
  <si>
    <t>41-45</t>
  </si>
  <si>
    <t>46-50</t>
  </si>
  <si>
    <t>51-55</t>
  </si>
  <si>
    <t>56-60</t>
  </si>
  <si>
    <t>externá forma štúdia</t>
  </si>
  <si>
    <t>denná a externá forma spolu</t>
  </si>
  <si>
    <t xml:space="preserve">maturanti </t>
  </si>
  <si>
    <t>% maturantov</t>
  </si>
  <si>
    <t>ostatní</t>
  </si>
  <si>
    <t>Prihlášky</t>
  </si>
  <si>
    <t>Zápis</t>
  </si>
  <si>
    <t>celkový počet</t>
  </si>
  <si>
    <t>TvU Trmava</t>
  </si>
  <si>
    <t>V tom cudzinci</t>
  </si>
  <si>
    <t>Verejné</t>
  </si>
  <si>
    <t>Súkromné</t>
  </si>
  <si>
    <t>Podiel v SR</t>
  </si>
  <si>
    <t xml:space="preserve">Stupeň </t>
  </si>
  <si>
    <t>Podiel VŠ</t>
  </si>
  <si>
    <t>PRÍRODNÉ VEDY</t>
  </si>
  <si>
    <t>Prihlásení
 (fyzické osoby)</t>
  </si>
  <si>
    <t>Prijatí 
(fyzické osoby)</t>
  </si>
  <si>
    <t>Zapísaní
(fyzické osoby)</t>
  </si>
  <si>
    <t>Za všetky skupiny</t>
  </si>
  <si>
    <t>Vek</t>
  </si>
  <si>
    <t>≤ 20</t>
  </si>
  <si>
    <t>61 ≤</t>
  </si>
  <si>
    <t>Forma</t>
  </si>
  <si>
    <t>Obe</t>
  </si>
  <si>
    <t>Denná</t>
  </si>
  <si>
    <t>Externá</t>
  </si>
  <si>
    <t>Rok</t>
  </si>
  <si>
    <t>Uchádzači</t>
  </si>
  <si>
    <t>z tej istej školy</t>
  </si>
  <si>
    <t xml:space="preserve"> % z celkového
počtu</t>
  </si>
  <si>
    <t>X</t>
  </si>
  <si>
    <t>Príloha č. 1</t>
  </si>
  <si>
    <t>Tabuľka č. 1:</t>
  </si>
  <si>
    <t>Počet a štruktúra študentov podľa formy, stupňa a typu vysokej školy</t>
  </si>
  <si>
    <t>Tabuľka č. 2:</t>
  </si>
  <si>
    <t>Tabuľka č. 3: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</si>
  <si>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</si>
  <si>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</si>
  <si>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</si>
  <si>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</si>
  <si>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</si>
  <si>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</si>
  <si>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Študenti podľa skupín študijných odborov (2010/2011)</t>
  </si>
  <si>
    <t>Podiel vysokých škôl na počte študentov (2010/2011)</t>
  </si>
  <si>
    <t>Veková štruktúra uchádzačov, prijatých a zapísaných na študijné programy prvého stupňa a spojeného prvého a druhého stupňa vysokoškolského vzdelávania na akademický rok 2010/2011</t>
  </si>
  <si>
    <t>Maturanti v prijímacom konaní na študijné programy prvého stupňa a spojeného prvého a druhého stupňa vysokoškolského vzdelávania na akdemický rok 2010/2011</t>
  </si>
  <si>
    <t>Prijímacie konanie absolventov - bakalárov na 2. stupeň v akademickom roku 2010/2011</t>
  </si>
  <si>
    <t>Absolventi podľa skupín študijných odborov (2010)</t>
  </si>
  <si>
    <t>Počet absolventov podľa vysokej školy, stupňa a formy štúdia (2010)</t>
  </si>
  <si>
    <t>100,0%</t>
  </si>
  <si>
    <t>Tabuľka č. 5: Počet absolventov podľa vysokej školy, stupňa
a formy štúdia (2010)</t>
  </si>
  <si>
    <t>Tabuľka č. 4: Absolventi podľa skupín študijných odborov (2010)</t>
  </si>
  <si>
    <t>7,66%</t>
  </si>
  <si>
    <t>6,49%</t>
  </si>
  <si>
    <t>6,91%</t>
  </si>
  <si>
    <t>6,16%</t>
  </si>
  <si>
    <t>6,96%</t>
  </si>
  <si>
    <t>4,78%</t>
  </si>
  <si>
    <t>6,04%</t>
  </si>
  <si>
    <t>5,01%</t>
  </si>
  <si>
    <t>4,84%</t>
  </si>
  <si>
    <t>9,02%</t>
  </si>
  <si>
    <t>3,73%</t>
  </si>
  <si>
    <t>2,68%</t>
  </si>
  <si>
    <t>3,45%</t>
  </si>
  <si>
    <t>2,82%</t>
  </si>
  <si>
    <t>1,93%</t>
  </si>
  <si>
    <t>1,84%</t>
  </si>
  <si>
    <t>0,99%</t>
  </si>
  <si>
    <t>1,48%</t>
  </si>
  <si>
    <t>1,13%</t>
  </si>
  <si>
    <t>1,08%</t>
  </si>
  <si>
    <t>0,54%</t>
  </si>
  <si>
    <t>1,01%</t>
  </si>
  <si>
    <t>0,30%</t>
  </si>
  <si>
    <t>0,34%</t>
  </si>
  <si>
    <t>0,35%</t>
  </si>
  <si>
    <t>0,29%</t>
  </si>
  <si>
    <t>0,20%</t>
  </si>
  <si>
    <t>0,02%</t>
  </si>
  <si>
    <t>33,35%</t>
  </si>
  <si>
    <t>20,41%</t>
  </si>
  <si>
    <t>27,71%</t>
  </si>
  <si>
    <t>14,63%</t>
  </si>
  <si>
    <t>1,50%</t>
  </si>
  <si>
    <t>2,41%</t>
  </si>
  <si>
    <t>100,00%</t>
  </si>
  <si>
    <t>PEVŠ Bratislava</t>
  </si>
  <si>
    <t>2010/2011</t>
  </si>
  <si>
    <t>z toho cudzinci</t>
  </si>
  <si>
    <t>Tabuľka č. 2: Študenti podľa skupín študijných odborov (2010/2011)</t>
  </si>
  <si>
    <t>UVLF Košice</t>
  </si>
  <si>
    <t>Tabuľka č. 3: Podiel vysokých škôl na počte študentov (2010/2011)</t>
  </si>
  <si>
    <t>Tabuľka č. 7: Veková štruktúra uchádzačov, prijatých a zapísaných na študijné programy prvého stupňa a spojeného prvého a druhého stupňa vysokoškolského vzdelávania na akademický rok 2010/2011</t>
  </si>
  <si>
    <t>Tabuľka č. 8:   Maturanti v prijímacom konaní na študijné programy prvého stupňa
a spojeného prvého a druhého stupňa vysokoškolského vzdelávania</t>
  </si>
  <si>
    <t>Tabuľka č. 9: Prijímacie konanie absolventov - bakalárov na 2. stupeň 
v akademickom roku 2010/2011</t>
  </si>
  <si>
    <t>ISM Prešov</t>
  </si>
  <si>
    <t>Počet učiteľov</t>
  </si>
  <si>
    <t>Priemerný plat učiteľov</t>
  </si>
  <si>
    <t>z toho:</t>
  </si>
  <si>
    <t>Počet výskumných pracovníkov</t>
  </si>
  <si>
    <t>Priemerný plat výskumných pracovníkov</t>
  </si>
  <si>
    <t>Počet neučiteľov</t>
  </si>
  <si>
    <t>Priemerný plat neučiteľov</t>
  </si>
  <si>
    <t>Počet všetkých zamestnancov</t>
  </si>
  <si>
    <t>Priemerný plat všetkých zamestnancov</t>
  </si>
  <si>
    <t>Počet profesorov</t>
  </si>
  <si>
    <t>Priemerný plat profesorov</t>
  </si>
  <si>
    <t>Priemerný plat docentov</t>
  </si>
  <si>
    <t xml:space="preserve">Počet  odborných asistentov </t>
  </si>
  <si>
    <t>Priemerný plat odborných asistentov</t>
  </si>
  <si>
    <t xml:space="preserve">Počet  asistentov </t>
  </si>
  <si>
    <t>Priemerný plat  asistentov</t>
  </si>
  <si>
    <t>Počet  lektorov</t>
  </si>
  <si>
    <t>Priemerný plat  lektorov</t>
  </si>
  <si>
    <t>UMB B.Bystrica</t>
  </si>
  <si>
    <t>AU B.Bystrica</t>
  </si>
  <si>
    <t xml:space="preserve">KU Ružomberok </t>
  </si>
  <si>
    <t>Zdroj: Štvrťročný výkaz o práci vysokých škôl a ostatných organizácií priamo riadených MŠVV a Š SR /Škol (MŠVV a Š SR) 2-04/</t>
  </si>
  <si>
    <t xml:space="preserve">Počet docentov </t>
  </si>
  <si>
    <t>Účet</t>
  </si>
  <si>
    <t>Rok 2009</t>
  </si>
  <si>
    <t>Rok 2010</t>
  </si>
  <si>
    <t>Náklady
hlavnej činnosti</t>
  </si>
  <si>
    <t>501 - Spotreba materiálu</t>
  </si>
  <si>
    <t>502 - Spotreba energie</t>
  </si>
  <si>
    <t>504 - Predaný tovar</t>
  </si>
  <si>
    <t>511 - Opravy a udržiavanie</t>
  </si>
  <si>
    <t>512 - Cestovné</t>
  </si>
  <si>
    <t>513 - Náklady na reprezentáciu</t>
  </si>
  <si>
    <t>518 - Ostatné služby</t>
  </si>
  <si>
    <t>521 - Mzdové náklady</t>
  </si>
  <si>
    <t>524 - Zakonné sociálne poistenie</t>
  </si>
  <si>
    <t>525 - Ostatné sociálne poistenie</t>
  </si>
  <si>
    <t>527 - Zakonné sociálne náklady</t>
  </si>
  <si>
    <t xml:space="preserve">528 - Ostatné sociálne náklady </t>
  </si>
  <si>
    <t>531 - Daň z motorových vozidiel</t>
  </si>
  <si>
    <t>532 - Daň z nehnuteľností</t>
  </si>
  <si>
    <t>538 - Ostatné dane a poplatky</t>
  </si>
  <si>
    <t>541 - Zmluvné pokuty a penále</t>
  </si>
  <si>
    <t>542 - Ostatné pokuty a penále</t>
  </si>
  <si>
    <t>543 - Odpísanie pohľadávky</t>
  </si>
  <si>
    <t>544 - Úroky</t>
  </si>
  <si>
    <t>545 - Kurzové straty</t>
  </si>
  <si>
    <t>546 - Dary</t>
  </si>
  <si>
    <t>547 - Osobitné náklady</t>
  </si>
  <si>
    <t>548 - Manká a škody</t>
  </si>
  <si>
    <t>549 - Iné ostatné náklady</t>
  </si>
  <si>
    <t>551 - Odpisy nehmotného a hmotného majetku</t>
  </si>
  <si>
    <t>552 - Zostatková cena predaného hmotného a nehmotného majetku</t>
  </si>
  <si>
    <t xml:space="preserve">553 - Predané cenné papiere </t>
  </si>
  <si>
    <t>554 - Predaný materiál</t>
  </si>
  <si>
    <t>555- Náklady na krátkodobý investičný majetok</t>
  </si>
  <si>
    <t>556 - Tvorba fondov</t>
  </si>
  <si>
    <t>557 - Náklady z precenenie cenných papierov</t>
  </si>
  <si>
    <t>559 - Tvorba a zaúčtovanie zákonných opravných položiek</t>
  </si>
  <si>
    <t>561 - Poskytnuté príspevky org.zložkám</t>
  </si>
  <si>
    <t>562 - Poskytnuté príspevky iným účtovným jednotkám</t>
  </si>
  <si>
    <t>563 - Poskytnuté príspevky fyzickým osobám</t>
  </si>
  <si>
    <t>567 - Poskytnuté príspevky z verejnej zbierky</t>
  </si>
  <si>
    <t>Počet poberateľov sociálnych štipendií k 31.12.2009</t>
  </si>
  <si>
    <t>Počet poberateľov sociálnych štipendií k 31.12.2010</t>
  </si>
  <si>
    <t>Počet nových projektov, 
ktoré sa uchádzali o podporu</t>
  </si>
  <si>
    <t xml:space="preserve">Počet nových  projektov, 
ktoré získali podporu   </t>
  </si>
  <si>
    <t xml:space="preserve">Počet podporovaných pokračujúcich    projektov </t>
  </si>
  <si>
    <t xml:space="preserve">Celkový počet podporovaných projektov   </t>
  </si>
  <si>
    <t xml:space="preserve">Podiel vysokej školy na celkovom počte podporovaných projektov 
(v %) </t>
  </si>
  <si>
    <t>Objem finančnej podpory na projekty - bežné výdavky 
(v €)</t>
  </si>
  <si>
    <t>Objem finančnej podpory na projekty - kapitálové výdavky 
(v €)</t>
  </si>
  <si>
    <t>Celkový objem finančnej podpory na projekty
(v €)</t>
  </si>
  <si>
    <t xml:space="preserve">Podiel vysokej školy na celkovom objeme pridelených finančných prostriedkov 
(v %) </t>
  </si>
  <si>
    <t>UMB Banská Bystrica</t>
  </si>
  <si>
    <t>AU Banská Bystrica</t>
  </si>
  <si>
    <t>Komisia VEGA č. 3 pre chemické vedy, chemické inžinierstvo a biotechnológie</t>
  </si>
  <si>
    <t>Názov komisie</t>
  </si>
  <si>
    <t>Celkový počet podporovaných projektov</t>
  </si>
  <si>
    <t xml:space="preserve">Podiel komisie na celkovom počte podporovaných projektov 
(v %) </t>
  </si>
  <si>
    <t>Celkový objem finančnej podpory na projekty 
(v €)</t>
  </si>
  <si>
    <t>Podiel komisie na celkovom objeme pridelených finančných prostriedkov 
(v %)</t>
  </si>
  <si>
    <t>Komisia VEGA č. 1 pre matematické vedy, počítačové a informatické vedy a fyzikálne vedy</t>
  </si>
  <si>
    <t>Komisia VEGA č. 2 pre vedy o Zemi a vesmíre, environmentálne vedy (aj zemské zdroje)</t>
  </si>
  <si>
    <t>Komisia VEGA č. 4 pre biologické vedy</t>
  </si>
  <si>
    <t>Komisia VEGA č. 5 pre elektrotechniku, automatizáciu a riadiace systémy a príbuzné odbory informačných a komunikačných technológií</t>
  </si>
  <si>
    <t>Komisia VEGA č. 6 pre stavebné inžinierstvo (stavebníctvo, dopravu a geodéziu) a environmentálne inžinierstvo vrátane  baníctva, hutníctva a vodohospodárskych vied</t>
  </si>
  <si>
    <t>Komisia VEGA č. 7 pre strojárstvo a príbuzné odbory informačných a komunikačných technológií a materiálové inžinierstvo</t>
  </si>
  <si>
    <t>Komisia VEGA č. 8 pre pôdohospodárske, veterinárske a drevárske vedy</t>
  </si>
  <si>
    <t>Komisia VEGA č. 9 pre lekárske vedy a farmaceutické vedy</t>
  </si>
  <si>
    <t>Komisia VEGA č. 10 pre historické vedy a vedy o spoločnosti (filozofia, sociológia, politológia, teológia)</t>
  </si>
  <si>
    <t>Komisia VEGA č. 11 pre vedy o človeku (psychológia, pedagogika, vedy o športe)</t>
  </si>
  <si>
    <t>Komisia VEGA č. 12 pre vedy o umení, estetiku a jazykovedu</t>
  </si>
  <si>
    <t>Komisia VEGA č. 13 pre ekonomické a právne vedy</t>
  </si>
  <si>
    <t>Tabuľka č. 13: Počty výskumných projektov verejných vysokých škôl a objem finančných prostriedkov poskytnutých 
na ich riešenie vnútorným grantovým systémom KEGA v roku 2010 podľa vysokých škôl</t>
  </si>
  <si>
    <t xml:space="preserve">Celkový počet podporovaných projektov 
štátnych programov 
VaV </t>
  </si>
  <si>
    <t xml:space="preserve">Podiel VVŠ na celkovom počte podporovaných projektov
štátnych programov VaV zo ŠR
(v %) </t>
  </si>
  <si>
    <t>Celkový objem finančnej podpory na projekty štátnych programov VaV
(v €)</t>
  </si>
  <si>
    <t xml:space="preserve">Podiel VVŠ na celkovom objeme poskytnutej účelovej podpory
(v %) </t>
  </si>
  <si>
    <t>x</t>
  </si>
  <si>
    <t>Tabuľka č. 14a: Počty výskumných projektov verejných vysokých škôl a objem finančných prostriedkov poskytnutých na ich riešenie zo štátnych programov výskumu a vývoja v roku 2010 podľa verejných vysokých škôl</t>
  </si>
  <si>
    <t>Číslo a názov štátneho programu</t>
  </si>
  <si>
    <t>Účelová podpora na riešenie projektov štátnych programov VaV vysokými školami 
(v €)</t>
  </si>
  <si>
    <t>Štátna účelová podpora na riešenie úloh štátnych programov VaV celkom (v €)</t>
  </si>
  <si>
    <t xml:space="preserve">Podiel sektora vysokých škôl na celkovom objeme pridelených finančných prostriedkov 
(v %) </t>
  </si>
  <si>
    <t>Budovanie informačnej spoločnosti</t>
  </si>
  <si>
    <t>Kvalita života - zdravie, výživa a vzdelávanie</t>
  </si>
  <si>
    <t>Rozvoj progresívnych technológií pre výkonnú ekonomiku</t>
  </si>
  <si>
    <t xml:space="preserve">Využívanie domácich surovín a zdrojov </t>
  </si>
  <si>
    <t>Uplatnenie progresívnych princípov výroby a premien energie</t>
  </si>
  <si>
    <t>Rozvoj osobnosti a talentu mladých zamestnancov a doktorandov výskumu a vývoja (MZDVV) do 35 rokov</t>
  </si>
  <si>
    <t>Komplexné riešenie podpory a efektívneho využívania infraštruktúry výskumu a vývoja</t>
  </si>
  <si>
    <t>Aktuálne otázky rozvoja spoločnosti</t>
  </si>
  <si>
    <t>Tabuľka č. 14b: Podiel verejných vysokých škôl na získavaní finančných prostriedkov zo štátnych programov výskumu a vývoja  v roku 2010</t>
  </si>
  <si>
    <t xml:space="preserve">Podiel vysokej školy
na celkovom počte podporovaných projektov 
(v %) </t>
  </si>
  <si>
    <t>Celkový objem finančnej podpory 
na projekty
(v €)</t>
  </si>
  <si>
    <t xml:space="preserve">Podiel vysokej školy 
na celkovom objeme pridelených finančných prostriedkov 
(v %) </t>
  </si>
  <si>
    <t>Zdroj: APVV</t>
  </si>
  <si>
    <t>Tabuľka č. 15a: Počty výskumných projektov verejných vysokých škôl a objem finančných prostriedkov poskytnutých na ich riešenie agentúrou APVV v roku 2010 podľa verejných  vysokých škôl</t>
  </si>
  <si>
    <t>Objem finančných 
prostriedkov pridelený 
pre sektor 
(v €)</t>
  </si>
  <si>
    <t xml:space="preserve">Podiel sektora na celkovom objeme pridelených 
finančných prostriedkov 
(v %) </t>
  </si>
  <si>
    <t>Štátny sektor</t>
  </si>
  <si>
    <r>
      <t>Podnikateľský sektor</t>
    </r>
    <r>
      <rPr>
        <sz val="12"/>
        <rFont val="Arial"/>
        <family val="2"/>
        <charset val="238"/>
      </rPr>
      <t/>
    </r>
  </si>
  <si>
    <r>
      <t>Neziskové organizácie</t>
    </r>
    <r>
      <rPr>
        <sz val="12"/>
        <rFont val="Arial"/>
        <family val="2"/>
        <charset val="238"/>
      </rPr>
      <t/>
    </r>
  </si>
  <si>
    <t>Tabuľka č. 15b: Podiel verejných vysokých škôl na získavaní finančných prostriedkov z APVV v porovnaní s ostatnými sektormi výskumu a vývoja v roku 2010</t>
  </si>
  <si>
    <t xml:space="preserve">Celkový počet  podporovaných 
výskumných projektov   </t>
  </si>
  <si>
    <t xml:space="preserve">Podiel vysokej školy 
na celkovom počte podporovaných projektov 
(v %) </t>
  </si>
  <si>
    <t>Celkový objem finančnej podpory zo zahraničia na projekty (do 31. 10. 2010)
(v €)</t>
  </si>
  <si>
    <t xml:space="preserve">Podiel vysokej školy 
na celkovom objeme pridelených finančných prostriedkov zo zahraničia
(v %) </t>
  </si>
  <si>
    <t>Tabuľka č. 16: Počty výskumných projektov verejných vysokých škôl a objem finančných prostriedkov získaných na ich riešenie zo zahraničia v roku 2010 podľa vysokých škôl</t>
  </si>
  <si>
    <t>Lôžková kapacita študentských domovov k 31.12.2009</t>
  </si>
  <si>
    <t>Počet zmluvných miest na ubytovanie študentov k 31.12.2009</t>
  </si>
  <si>
    <t>Počet miest na ubytovanie študentov k 31.12.2009 spolu</t>
  </si>
  <si>
    <t>Počet nevybavených žiadostí o ubytovanie v roku 2009</t>
  </si>
  <si>
    <t>Lôžková kapacita študentských domovov k 31.12.2010</t>
  </si>
  <si>
    <t>Počet zmluvných miest na ubytovanie študentov k 31.12.2010</t>
  </si>
  <si>
    <t>Počet miest na ubytovanie študentov k 31.12.2010 spolu</t>
  </si>
  <si>
    <t>Počet nevybavených žiadostí o ubytovanie v roku 2010</t>
  </si>
  <si>
    <t>stále aktíva</t>
  </si>
  <si>
    <t>dlhodobý nehmotný majetok</t>
  </si>
  <si>
    <t>software</t>
  </si>
  <si>
    <t>oceniteľné práva</t>
  </si>
  <si>
    <t>ostatný dlhodobý nehmotný majetok</t>
  </si>
  <si>
    <t>obstaranie dlhodobého nehmotného majetku</t>
  </si>
  <si>
    <t>poskytnuté preddavky na dlhodobý nehm. majetok</t>
  </si>
  <si>
    <t>dlhodobý nehmotný majetok Celkom</t>
  </si>
  <si>
    <t>dlhodobý hmotný majetok</t>
  </si>
  <si>
    <t>pozemky</t>
  </si>
  <si>
    <t>umelecké diela a zbierky</t>
  </si>
  <si>
    <t>obstaranie dlhodobého hmotného majetku</t>
  </si>
  <si>
    <t>stavby</t>
  </si>
  <si>
    <t xml:space="preserve">samostatné hnutežné veci a súbory hnutežných vecí </t>
  </si>
  <si>
    <t>dopravné prostriedky</t>
  </si>
  <si>
    <t>pestovateľské celky trvalých porastov</t>
  </si>
  <si>
    <t>základné stádo a ťažné zvieratá</t>
  </si>
  <si>
    <t>drobný dlhodobý majetok</t>
  </si>
  <si>
    <t>ostatný dlhodobý hmotný majetok</t>
  </si>
  <si>
    <t>poskytnuté preddavky na dlhodobý hmotný majetok</t>
  </si>
  <si>
    <t>dlhodobý hmotný majetok Celkom</t>
  </si>
  <si>
    <t>finančné investície</t>
  </si>
  <si>
    <t xml:space="preserve">Podiel. cennné papiere a podiely v obch. spol. v ovládan. osobe </t>
  </si>
  <si>
    <t>Podiel. cené papiere a podiely v obch. spol. s podstat. vplyvom</t>
  </si>
  <si>
    <t xml:space="preserve">Ostatný dlhodobý finančný majetok </t>
  </si>
  <si>
    <t>finančné investície Celkom</t>
  </si>
  <si>
    <t>stále aktíva Celkom</t>
  </si>
  <si>
    <t>obežné aktíva</t>
  </si>
  <si>
    <t>zásoby</t>
  </si>
  <si>
    <t>materiál</t>
  </si>
  <si>
    <t>nedokončená výroba a polotovary</t>
  </si>
  <si>
    <t>výrobky</t>
  </si>
  <si>
    <t>zvieratá</t>
  </si>
  <si>
    <t>tovar</t>
  </si>
  <si>
    <t xml:space="preserve">Poskytnuté prevádzkové preddavky na zásoby </t>
  </si>
  <si>
    <t>zásoby Celkom</t>
  </si>
  <si>
    <t>dlhodobé pohľadávky</t>
  </si>
  <si>
    <t>pohľadávky z obchodného styku</t>
  </si>
  <si>
    <t>ostatné pohľadávky</t>
  </si>
  <si>
    <t>iné pohľadávky</t>
  </si>
  <si>
    <t>dlhodobé pohľadávky Celkom</t>
  </si>
  <si>
    <t>krátkodobé pohľadávky</t>
  </si>
  <si>
    <t>ostatné pohľdávky</t>
  </si>
  <si>
    <t>daňové pohľadávky</t>
  </si>
  <si>
    <t>pohľ.z dôvodu fin.vzťahov k ŠR a rozpočtom úz.správ</t>
  </si>
  <si>
    <t xml:space="preserve">zúčtovanie zo Sociálnou poisť. a zdravot.poisťovňami </t>
  </si>
  <si>
    <t>krátkodobé pohľadávky Celkom</t>
  </si>
  <si>
    <t xml:space="preserve">finančný majetok </t>
  </si>
  <si>
    <t>pokladnica</t>
  </si>
  <si>
    <t>bankové účty</t>
  </si>
  <si>
    <t>finančný majetok  Celkom</t>
  </si>
  <si>
    <t>obežné aktíva Celkom</t>
  </si>
  <si>
    <t>časové rozlíšenie</t>
  </si>
  <si>
    <t>prechodné účty aktív</t>
  </si>
  <si>
    <t>náklady budúcich období</t>
  </si>
  <si>
    <t>príjmy budúcich období</t>
  </si>
  <si>
    <t>prechodné účty aktív Celkom</t>
  </si>
  <si>
    <t>prechodné účty Celkom</t>
  </si>
  <si>
    <t>Celkový súčet</t>
  </si>
  <si>
    <t>vlastné zdroje</t>
  </si>
  <si>
    <t>imanie a peňažné fondy</t>
  </si>
  <si>
    <t>základné imanie</t>
  </si>
  <si>
    <t>fondy podľa osobitného predpisu</t>
  </si>
  <si>
    <t>fond reprodukcie</t>
  </si>
  <si>
    <t>rozdiely z precenenia majetku a záväzkov</t>
  </si>
  <si>
    <t>rezervný fond</t>
  </si>
  <si>
    <t>fondy tvorené zo zisku</t>
  </si>
  <si>
    <t>ostatné fondy</t>
  </si>
  <si>
    <t xml:space="preserve"> fondy tvorené zo zisku Celkom</t>
  </si>
  <si>
    <t>výsledok hospodárenia</t>
  </si>
  <si>
    <t>nevysporiadaný výsledok hospodárenia z minulých rokov</t>
  </si>
  <si>
    <t>výsledok hospodárenia za účt. obdobie</t>
  </si>
  <si>
    <t>výsledok hospodárenia Celkom</t>
  </si>
  <si>
    <t>vlastné zdroje Celkom</t>
  </si>
  <si>
    <t>cudzie zdroje</t>
  </si>
  <si>
    <t>rezervy zákonné</t>
  </si>
  <si>
    <t>krátkodobé  rezervy</t>
  </si>
  <si>
    <t>rezervy zákonné Celkom</t>
  </si>
  <si>
    <t>dlhodobé záväzky</t>
  </si>
  <si>
    <t>sociálny fond</t>
  </si>
  <si>
    <t>záväzky z prenájmu</t>
  </si>
  <si>
    <t>ostatné dlhodobé záväzky</t>
  </si>
  <si>
    <t>dlhodobé záväzky Celkom</t>
  </si>
  <si>
    <t>krátkodobé záväzky</t>
  </si>
  <si>
    <t>záväzky z obchodného styku</t>
  </si>
  <si>
    <t>záväzky voči zamestnancom</t>
  </si>
  <si>
    <t xml:space="preserve">zúčtovanie so sociálnou poisťonňou a zdravot. poisťovňami  </t>
  </si>
  <si>
    <t>záväzky z titulu finančných vzťahov k štátnemu rozpočtu a orgánov miestnej samosprávy</t>
  </si>
  <si>
    <t>daňové záväzky</t>
  </si>
  <si>
    <t>ostatné záväzky</t>
  </si>
  <si>
    <t>krátkodobé záväzky Celkom</t>
  </si>
  <si>
    <t>banková výpomoc</t>
  </si>
  <si>
    <t>dlhodobé bankové úvery</t>
  </si>
  <si>
    <t>bežné bankové úvery</t>
  </si>
  <si>
    <t>prijaté krátkodobé finančné výpomoci</t>
  </si>
  <si>
    <t>banková výpomoc Celkom</t>
  </si>
  <si>
    <t>cudzie zdroje Celkom</t>
  </si>
  <si>
    <t>prechodné účty pasív</t>
  </si>
  <si>
    <t>výdavky budúcich období</t>
  </si>
  <si>
    <t>výnosy budúcich období</t>
  </si>
  <si>
    <t>prechodné účty pasív Celkom</t>
  </si>
  <si>
    <t xml:space="preserve">Celkový súčet </t>
  </si>
  <si>
    <t>Výnosy
hlavnej činnosti</t>
  </si>
  <si>
    <t>Výnosy podnikateľskej činnosti</t>
  </si>
  <si>
    <t>Výnosy spolu</t>
  </si>
  <si>
    <t>601 - Tržby za vlastné výrobky</t>
  </si>
  <si>
    <t>602 - Tržby z predaja služieb</t>
  </si>
  <si>
    <t>604 - Tržby za predaný tovar</t>
  </si>
  <si>
    <t>611 - Zmena stavu nedokončenej výroby</t>
  </si>
  <si>
    <t>612 - Zmena stavu zásob polotovarov</t>
  </si>
  <si>
    <t>613 - Zmena stavu zásob výrobkov</t>
  </si>
  <si>
    <t>614 - Zmena stavu zvierat</t>
  </si>
  <si>
    <t>621 - Aktivácia materiálu a tovaru</t>
  </si>
  <si>
    <t>622 - Aktivácia vnútroorganizačných služieb</t>
  </si>
  <si>
    <t>623 - Aktivácia dlhodobého nehmotného majetku</t>
  </si>
  <si>
    <t>624 - Aktivácia dlhodobého hmotného majetku</t>
  </si>
  <si>
    <t>641 - Zmluvné pokuty a úroky z omeškania</t>
  </si>
  <si>
    <t>642 - Ostatné pokuty a penále</t>
  </si>
  <si>
    <t>643 - Platby za odpísané pohľadávky</t>
  </si>
  <si>
    <t>644 - Úroky</t>
  </si>
  <si>
    <t>645 - Kurzové zisky</t>
  </si>
  <si>
    <t>646 - Prijaté dary</t>
  </si>
  <si>
    <t>647 - Osobitné výnosy</t>
  </si>
  <si>
    <t>648 - Zákonné poplatky</t>
  </si>
  <si>
    <t>649 - Iné ostatné výnosy</t>
  </si>
  <si>
    <t>651 - Tržby z predaja dlhodobého nehmotného a hmotného majetku</t>
  </si>
  <si>
    <t>652 - Výnosy z dlhodobého finančného majetku</t>
  </si>
  <si>
    <t>653 - Tržby z predaja cenných papierov a vkladov</t>
  </si>
  <si>
    <t>654 - Tržby z predaja materiálu</t>
  </si>
  <si>
    <t>655 - Výnosy z krátkodobého finančného majetku</t>
  </si>
  <si>
    <t>656 - Výnosy z použitia fondu</t>
  </si>
  <si>
    <t>657 - Výnosy z precenenia cenných papierov</t>
  </si>
  <si>
    <t>658 - Výnosy z prenájmu majetku</t>
  </si>
  <si>
    <t>661 - Prijaté príspevky od organizačných zložiek</t>
  </si>
  <si>
    <t xml:space="preserve">662 - Prijaté príspevky od iných organizácií </t>
  </si>
  <si>
    <t>663 - Prijaté príspevky od fyzických osôb</t>
  </si>
  <si>
    <t>664 - Prijaté členské príspevky</t>
  </si>
  <si>
    <t>665 - Príspevky z podielu zaplatenej dane</t>
  </si>
  <si>
    <t>667 - Prijaté príspevky z verejných zbierok</t>
  </si>
  <si>
    <t>691 - Dotácie na prevádzku</t>
  </si>
  <si>
    <t>Výsledok hospodárenia pred zdanením</t>
  </si>
  <si>
    <t>591 - Daň z príjmov</t>
  </si>
  <si>
    <t>595 - Dodatočné odvody dane z príjmov</t>
  </si>
  <si>
    <t>Výsledok hospodárenia po zdanení</t>
  </si>
  <si>
    <t>Rozdiel 2009 a 2010</t>
  </si>
  <si>
    <t>656 - Zúčtovanie zákonných rezerv</t>
  </si>
  <si>
    <t>Náklady podnikateľskej činnosti</t>
  </si>
  <si>
    <t>Náklady spolu</t>
  </si>
  <si>
    <t>524 - Zakonné sociálne poistenie a zdravotné poist.</t>
  </si>
  <si>
    <t>551 - Odpisy dlhodobého nehmotného a hmotného majetku</t>
  </si>
  <si>
    <t>552 - Zostatková cena predaného nehmotného a hmotného majetku</t>
  </si>
  <si>
    <t>553 - Predané cenné papiere</t>
  </si>
  <si>
    <t>555- Náklady na krátkodobý finančný majetok</t>
  </si>
  <si>
    <t>557 - Náklady na precenenie cenných papierov</t>
  </si>
  <si>
    <t>558 - Tvorba a zúčtovanie opravných položiek</t>
  </si>
  <si>
    <t>559 - Tvorba a zúč. zákonných opravných položiek</t>
  </si>
  <si>
    <t>561 - Poskytnuté príspevky organizačným zložkám</t>
  </si>
  <si>
    <t>565 - Poskytnuté príspevky z podielu zaplatenej dane</t>
  </si>
  <si>
    <t xml:space="preserve">567 -  Poskytnuté príspevky z verejnej zbierky </t>
  </si>
  <si>
    <t xml:space="preserve"> Výsledok hospodárenia pred zdanením</t>
  </si>
  <si>
    <t>565 - Poskytnuté príspevky z rozdielu zaplatenej dane</t>
  </si>
  <si>
    <t>Celkový výsledok hospodárenia
v roku 2010</t>
  </si>
  <si>
    <t>Výnosy 
hlavnej 
činnosti</t>
  </si>
  <si>
    <t>Náklady 
hlavnej 
činnosti</t>
  </si>
  <si>
    <t>Výsledok hospodárenia hlavnej činnosti</t>
  </si>
  <si>
    <t>Výnosy podnikateľ
skej činnosti</t>
  </si>
  <si>
    <t>Náklady podnikateľ
skej činnosti</t>
  </si>
  <si>
    <t>Výsledok hospodárenia podnikateľ
skej činnosti</t>
  </si>
  <si>
    <t>Výnosy 
spolu</t>
  </si>
  <si>
    <t>Náklady 
polu</t>
  </si>
  <si>
    <t>Výsledok hospodárenia v roku 2010 spolu</t>
  </si>
  <si>
    <t xml:space="preserve">Nerozdelený zisk, 
neuhradená 
strata 
minulých 
rokov </t>
  </si>
  <si>
    <t>Výsledok hospodárenia k 31.12.2010</t>
  </si>
  <si>
    <t>646 -Prijaté dary</t>
  </si>
  <si>
    <t>647 -Osobitné výnosy</t>
  </si>
  <si>
    <t>648-Zákonné poplatky</t>
  </si>
  <si>
    <t>658 - výnosy z prenájmu majetku</t>
  </si>
  <si>
    <t>661 - Prijaté príspevky od org.zložiek</t>
  </si>
  <si>
    <t>667- Prijaté príspevky z verejných zbierok</t>
  </si>
  <si>
    <t>691 - Prevádzkové dotácie</t>
  </si>
  <si>
    <t>Výnosy hlavnej činnosti</t>
  </si>
  <si>
    <t>Náklady hlavnej činnosti</t>
  </si>
  <si>
    <t>VVŠ</t>
  </si>
  <si>
    <t>Stav k 31. 12. 2009  (v Eur )</t>
  </si>
  <si>
    <t>Stav k 31. 12. 2010  (v Eur )</t>
  </si>
  <si>
    <t>Zvyšok prijatej kapitálovej dotácie používanej na kompenzáciu odpisov majetku z nej obstaraného</t>
  </si>
  <si>
    <t xml:space="preserve">Bežná dotácia na úlohy budúcich období </t>
  </si>
  <si>
    <t>Prostriedky zo zahraničných projektov na budúce aktivity</t>
  </si>
  <si>
    <t>Ostatné</t>
  </si>
  <si>
    <t>Výročná správa o stave vysokého školstva za rok 2010</t>
  </si>
  <si>
    <t>Tabuľka č. 11:</t>
  </si>
  <si>
    <t>Tabuľka č. 13:</t>
  </si>
  <si>
    <t>Tabuľka č. 12a:</t>
  </si>
  <si>
    <t>Tabuľka č. 12b:</t>
  </si>
  <si>
    <t>Tabuľka č. 12b: Počty výskumných projektov verejných vysokých škôl podporovaných vnútorným grantovým systémom VEGA a objemy finančných poskytnutých na ich riešenie vnútorným grantovým systémom VEGA v roku 2010 podľa komisií VEGA</t>
  </si>
  <si>
    <t>Tabuľka č. 14a:</t>
  </si>
  <si>
    <t>Tabuľka č. 14b:</t>
  </si>
  <si>
    <t>Tabuľka č. 15a:</t>
  </si>
  <si>
    <t>Tabuľka č. 15b:</t>
  </si>
  <si>
    <t>Sektor výskumu a vývoja</t>
  </si>
  <si>
    <t>Tabuľka č. 16:</t>
  </si>
  <si>
    <t>Tabuľka č. 17:</t>
  </si>
  <si>
    <t>Tabuľka č. 18:</t>
  </si>
  <si>
    <t>Tabuľka č. 20:</t>
  </si>
  <si>
    <t>Počty a priemerné platy zamestnancov verejných vysokých škôl za rok 2010</t>
  </si>
  <si>
    <t>Zdroj: SVŠ</t>
  </si>
  <si>
    <t>Poznámka: V jednotlivých sumách nie sú zahrnuté vratky.</t>
  </si>
  <si>
    <t>V jednotlivých sumách nie sú zahrnuté vratky.</t>
  </si>
  <si>
    <t xml:space="preserve">Poznámka: </t>
  </si>
  <si>
    <t>Ostatné finančné prostriedky, ktoré nie sú započítané v tabuľke, boli použité na podporu vydania monografií.</t>
  </si>
  <si>
    <t>Zdroj: SVaT</t>
  </si>
  <si>
    <t>Zdroj: VVŠ</t>
  </si>
  <si>
    <t>Poznámka: Sumy sú uvedené bez vratiek.</t>
  </si>
  <si>
    <r>
      <t xml:space="preserve">Objem finančných prostriedkov vyplatených študentom na sociálne štipendiá  v roku 2009  </t>
    </r>
    <r>
      <rPr>
        <sz val="11"/>
        <rFont val="Calibri"/>
        <family val="2"/>
        <charset val="238"/>
      </rPr>
      <t>(v Eur)</t>
    </r>
  </si>
  <si>
    <r>
      <t xml:space="preserve">Objem finančných prostriedkov vyplatených študentom na sociálne štipendiá  v roku 2010  </t>
    </r>
    <r>
      <rPr>
        <sz val="11"/>
        <rFont val="Calibri"/>
        <family val="2"/>
        <charset val="238"/>
      </rPr>
      <t>(v Eur)</t>
    </r>
  </si>
  <si>
    <t>Zdroj: SFaR</t>
  </si>
  <si>
    <t>Tabuľka č. 18: Ubytovacie kapacity verejných vysokých škôl v rokoch 2009 a 2010</t>
  </si>
  <si>
    <t>Tabuľka č. 19a: Súhrnná súvaha za verejné vysoké školy k 31.12.2010 
- časť aktíva  (v Eur)</t>
  </si>
  <si>
    <t>Tabuľka č. 19b: Súhrnná súvaha za verejné vysoké školy k 31.12.2010 
- časť pasíva  (v Eur)</t>
  </si>
  <si>
    <t>Tabuľka č. 19a:</t>
  </si>
  <si>
    <t>Tabuľka č. 19b:</t>
  </si>
  <si>
    <t>Tabuľka č. 21:</t>
  </si>
  <si>
    <t>Tabuľka č. 22:</t>
  </si>
  <si>
    <t>Tabuľka č. 23:</t>
  </si>
  <si>
    <t>Tabuľka č. 24:</t>
  </si>
  <si>
    <t>Tabuľka č. 25:</t>
  </si>
  <si>
    <t>Tabuľka č. 26:</t>
  </si>
  <si>
    <t>Tabuľka č. 27:</t>
  </si>
  <si>
    <t>Tabuľka č. 28:</t>
  </si>
  <si>
    <t>Rozdiel 2010 
a 2009</t>
  </si>
  <si>
    <t>Tabuľka č. 28: Štruktúra účtu 384 - výnosy budúcich období v rokoch  2009 a 2010</t>
  </si>
  <si>
    <t>Vymenovaní profesori v roku 2010</t>
  </si>
  <si>
    <t>Počty výskumných projektov verejných vysokých škôl a objem finančných prostriedkov poskytnutých 
na ich riešenie vnútorným grantovým systémom VEGA v roku 2010 podľa vysokých škôl</t>
  </si>
  <si>
    <t>Počty výskumných projektov verejných vysokých škôl podporovaných vnútorným grantovým systémom VEGA a objemy finančných poskytnutých na ich riešenie vnútorným grantovým systémom VEGA v roku 2010 
podľa komisií VEGA</t>
  </si>
  <si>
    <t>Počty výskumných projektov verejných vysokých škôl a objem finančných prostriedkov poskytnutých 
na ich riešenie vnútorným grantovým systémom KEGA v roku 2010 podľa vysokých škôl</t>
  </si>
  <si>
    <t>Počty výskumných projektov verejných vysokých škôl a objem finančných prostriedkov poskytnutých na ich riešenie zo štátnych programov výskumu a vývoja v roku 2010 podľa verejných vysokých škôl</t>
  </si>
  <si>
    <t>Podiel verejných vysokých škôl na získavaní finančných prostriedkov zo štátnych programov výskumu a vývoja  v roku 2010</t>
  </si>
  <si>
    <t>Počty výskumných projektov verejných vysokých škôl a objem finančných prostriedkov poskytnutých na ich riešenie agentúrou APVV v roku 2010 podľa verejných  vysokých škôl</t>
  </si>
  <si>
    <t>Ubytovacie kapacity verejných vysokých škôl v rokoch 2009 a 2010</t>
  </si>
  <si>
    <t>Podiel verejných vysokých škôl na získavaní finančných prostriedkov z APVV v porovnaní s ostatnými sektormi výskumu a vývoja v roku 2010</t>
  </si>
  <si>
    <t>Počty výskumných projektov verejných vysokých škôl a objem finančných prostriedkov získaných na ich riešenie zo zahraničia v roku 2010 podľa vysokých škôl</t>
  </si>
  <si>
    <t>Počty poberateľov sociálnych štipendií a objemy finančných prostriedkov v rokoch 2009 a 2010</t>
  </si>
  <si>
    <t>Náklady verejných vysokých škôl v roku 2010 (v Eur)</t>
  </si>
  <si>
    <t>Náklady verejných vysokých škôl v rokoch 2009 a  2010 (v Eur)</t>
  </si>
  <si>
    <t>Výsledky hospodárenia verejných vysokých škôl v roku 2010 (v Eur)</t>
  </si>
  <si>
    <t>Náklady verejných vysokých škôl v rokoch 2010 a 2009 v oblasti sociálnej podpory študentov (v Eur)</t>
  </si>
  <si>
    <t>Výsledky hospodárenia verejných vysokých škôl v roku 2010  v oblasti sociálnej podpory študentov (v Eur)</t>
  </si>
  <si>
    <t>Štruktúra účtu 384 - výnosy budúcich období v rokoch  2009 a 2010</t>
  </si>
  <si>
    <t xml:space="preserve">Súhrnná súvaha za verejné vysoké školy k 31.12.2010 - časť aktíva  (v Eur)
</t>
  </si>
  <si>
    <t xml:space="preserve">Súhrnná súvaha za verejné vysoké školy k 31.12.2010 - časť pasíva  (v Eur)
</t>
  </si>
  <si>
    <t xml:space="preserve">Výnosy verejných vysokých škôl v roku 2010 (v Eur)
</t>
  </si>
  <si>
    <t xml:space="preserve">Výnosy verejných vysokých škôl v rokoch 2009 a 2010 (v Eur)
</t>
  </si>
  <si>
    <t xml:space="preserve">Výnosy verejných vysokých škôl v rokoch 2010 a 2009 v oblasti sociálnej podpory študentov (v Eur)     
</t>
  </si>
  <si>
    <t>Priemerný vek</t>
  </si>
  <si>
    <t>Počet vymenovaných</t>
  </si>
  <si>
    <t>Počet vlastných zamestnancov z predložených návrhov</t>
  </si>
  <si>
    <t>humanitné vedy a umenie</t>
  </si>
  <si>
    <t>informatické vedy, matematika, informačné a komunikačné technológie</t>
  </si>
  <si>
    <t>konštruovanie, technológie, výroba a komunikácie</t>
  </si>
  <si>
    <t>pôdohospodárske a veterinárske vedy</t>
  </si>
  <si>
    <t>prírodné vedy</t>
  </si>
  <si>
    <t>služby</t>
  </si>
  <si>
    <t>sociálne, ekonomické a právne vedy</t>
  </si>
  <si>
    <t>výchova a vzdelávanie</t>
  </si>
  <si>
    <t xml:space="preserve">zdravotníctvo </t>
  </si>
  <si>
    <t>Tabuľka č. 11: Vymenovaní profesori v roku 2010</t>
  </si>
  <si>
    <t>Skupina odborov</t>
  </si>
  <si>
    <t>Počet</t>
  </si>
  <si>
    <t>TNUAD Trenčín</t>
  </si>
  <si>
    <t>merná jednotka</t>
  </si>
  <si>
    <t>osoby</t>
  </si>
  <si>
    <t>€</t>
  </si>
  <si>
    <t>UVL Košice</t>
  </si>
  <si>
    <t>TUAD Trenčín</t>
  </si>
  <si>
    <t>Tabuľka č. 10: Počty a priemerné platy zamestnancov verejných vysokých škôl za rok 2010 (všetky zdroje financovania)</t>
  </si>
  <si>
    <t>Tabuľka č. 10:</t>
  </si>
  <si>
    <t>Tabuľka č. 20: Výnosy verejných vysokých škôl v roku 2010
(v Eur)</t>
  </si>
  <si>
    <t>Tabuľka č. 21: Výnosy verejných vysokých škôl v rokoch 2009 a 2010 
(v Eur)</t>
  </si>
  <si>
    <t>Tabuľka č. 22: Náklady verejných vysokých škôl v roku 2010
(v Eur)</t>
  </si>
  <si>
    <t>Tabuľka č. 23: Náklady verejných vysokých škôl v rokoch 2009 a  2010 
(v Eur)</t>
  </si>
  <si>
    <t>Tabuľka č. 24: Výsledky hospodárenia verejných vysokých škôl v roku 2010 
(v Eur)</t>
  </si>
  <si>
    <r>
      <t xml:space="preserve">Tabuľka č. 27: Výsledky hospodárenia verejných vysokých škôl v roku 2010  v oblasti sociálnej podpory študentov 
</t>
    </r>
    <r>
      <rPr>
        <sz val="16"/>
        <rFont val="Calibri"/>
        <family val="2"/>
        <charset val="238"/>
      </rPr>
      <t>(v Eur)</t>
    </r>
  </si>
  <si>
    <t>-</t>
  </si>
  <si>
    <t>Tabuľka č. 12a: Počty výskumných projektov verejných vysokých škôl a objem finančných prostriedkov poskytnutých na ich riešenie vnútorným grantovým systémom VEGA v roku 2010 podľa vysokých škôl</t>
  </si>
  <si>
    <t>Graf č. P1: Vývoj počtu študentov</t>
  </si>
  <si>
    <t>A - celkový počet študentov na verejných a súkromných vysokých školách</t>
  </si>
  <si>
    <t>B - podiel študentov na verejných a súkromných vysokých školách</t>
  </si>
  <si>
    <t>C - počet a štruktúra študentov podľa jednotlivých vysokých škôl v roku 2010</t>
  </si>
  <si>
    <t>A - denná forma</t>
  </si>
  <si>
    <t>počet študentov</t>
  </si>
  <si>
    <t>podiel študentov v danom veku</t>
  </si>
  <si>
    <t>B - externá forma</t>
  </si>
  <si>
    <t>Graf č. P2: Veková štruktúra študentov (I. a II. stupeň)</t>
  </si>
  <si>
    <t>B - exerná forma</t>
  </si>
  <si>
    <t>Graf č. P1:</t>
  </si>
  <si>
    <t>Vývoj počtu študentov</t>
  </si>
  <si>
    <t>Graf č. P2:</t>
  </si>
  <si>
    <t>Veková štruktúra študentov (I. a II. stupeň)</t>
  </si>
  <si>
    <t>Graf č. P3:</t>
  </si>
  <si>
    <t>Veková štruktúra študentov (III. stupeň)</t>
  </si>
  <si>
    <t>Tabuľka č. 25: Výnosy verejných vysokých škôl v rokoch 2009 a 2010 v oblasti sociálnej podpory študentov         
(v Eur)</t>
  </si>
  <si>
    <t>Tabuľka č. 26: Náklady verejných vysokých škôl v rokoch 2009 a 2010 v oblasti sociálnej podpory študentov 
(v Eur)</t>
  </si>
  <si>
    <t>C - suma finančnej podpory pripadajúca na jeden projekt</t>
  </si>
  <si>
    <t>B - počet podporovancýh výskumných projektov</t>
  </si>
  <si>
    <t>A - objem finančných prostriedkov poskytnutých v jednotlivých rokoch na výskumné granty</t>
  </si>
  <si>
    <t>Graf č. P4: Financovanie výskumných projektov
verejných vysokých škôl</t>
  </si>
  <si>
    <t>Graf č. P4:</t>
  </si>
  <si>
    <t>Graf č. P3: Veková štruktúra študentov (III. stupeň)</t>
  </si>
  <si>
    <t>Graf č. P5: Vývoj celkových nákladov a výnosov
 verejných vysokých škôl</t>
  </si>
  <si>
    <t>A - v mil. €</t>
  </si>
  <si>
    <t>B - % medziročná zmena</t>
  </si>
  <si>
    <t>Graf č. P6: Výnos - dotácia na prevádzku 
verejných vysokých škôl</t>
  </si>
  <si>
    <t>B - % podiel</t>
  </si>
  <si>
    <t>Graf č. P6:</t>
  </si>
  <si>
    <t>Graf č. P5:</t>
  </si>
  <si>
    <t>Financovanie výskumných projektov verejných vysokých škôl</t>
  </si>
  <si>
    <t>Vývoj celkových nákladov a výnosov verejných vysokých škôl</t>
  </si>
  <si>
    <t>Výnos - dotácia na prevádzku verejných vysokých škôl</t>
  </si>
  <si>
    <t>Tabuľka č. 17: Počty poberateľov sociálnych štipendií a objemy finančných prostriedkov                                                                                        v rokoch 2009 a 2010</t>
  </si>
  <si>
    <t>Prehľad prijímacieho konania podľa skupín študijných odborov (I. stupeň) 2010</t>
  </si>
  <si>
    <t>Tabuľka č. 6: Prehľad prijímacieho konania podľa skupín študijných odborov (I. stupeň) 2010</t>
  </si>
  <si>
    <r>
      <t xml:space="preserve">Zvyšok prijatej kapitálovej dotácie </t>
    </r>
    <r>
      <rPr>
        <b/>
        <sz val="10"/>
        <rFont val="Calibri"/>
        <family val="2"/>
        <charset val="238"/>
      </rPr>
      <t>z prostriedkov EÚ (štrukturálnych fondov) používanej na kompenzáciu odpisov majetku z nej obstaraného</t>
    </r>
  </si>
  <si>
    <r>
      <t>Sektor verejných vysokých škôl</t>
    </r>
    <r>
      <rPr>
        <b/>
        <sz val="12"/>
        <rFont val="Arial"/>
        <family val="2"/>
        <charset val="238"/>
      </rPr>
      <t/>
    </r>
  </si>
  <si>
    <t>Sektor ostatných vysokých škôl</t>
  </si>
  <si>
    <t>Sumy sú uvedené bez vratiek.</t>
  </si>
  <si>
    <t>VŠZSP sv.Alžbety Bratislava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</si>
</sst>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-* #,##0.00\ _S_k_-;\-* #,##0.00\ _S_k_-;_-* &quot;-&quot;??\ _S_k_-;_-@_-"/>
    <numFmt numFmtId="165" formatCode="0.0%"/>
    <numFmt numFmtId="166" formatCode="_-* #,##0.0\ _€_-;\-* #,##0.0\ _€_-;_-* &quot;-&quot;??\ _€_-;_-@_-"/>
    <numFmt numFmtId="167" formatCode="0.0000"/>
    <numFmt numFmtId="168" formatCode="#,##0.0"/>
    <numFmt numFmtId="169" formatCode="#,##0_ ;[Red]\-#,##0\ "/>
    <numFmt numFmtId="170" formatCode="_-* #,##0\ _S_k_-;\-* #,##0\ _S_k_-;_-* &quot;-&quot;??\ _S_k_-;_-@_-"/>
    <numFmt numFmtId="171" formatCode="dd/mm/yyyy"/>
    <numFmt numFmtId="172" formatCode="yyyy"/>
    <numFmt numFmtId="173" formatCode="0.0"/>
    <numFmt numFmtId="174" formatCode="_-* #,##0\ _€_-;\-* #,##0\ _€_-;_-* &quot;-&quot;??\ _€_-;_-@_-"/>
  </numFmts>
  <fonts count="85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6"/>
      <color indexed="8"/>
      <name val="Cambria"/>
      <family val="1"/>
      <charset val="238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0"/>
      <name val="Times New Roman CE"/>
      <family val="1"/>
      <charset val="238"/>
    </font>
    <font>
      <i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9"/>
      <color indexed="8"/>
      <name val="Calibri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b/>
      <sz val="16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18"/>
      <color indexed="8"/>
      <name val="Calibri"/>
      <family val="2"/>
      <charset val="238"/>
    </font>
    <font>
      <sz val="8"/>
      <name val="Calibri"/>
      <family val="2"/>
      <charset val="238"/>
    </font>
    <font>
      <i/>
      <sz val="10"/>
      <name val="Arial"/>
      <family val="2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</font>
    <font>
      <b/>
      <i/>
      <sz val="12"/>
      <name val="Times New Roman"/>
      <family val="1"/>
    </font>
    <font>
      <sz val="10"/>
      <name val="Arial CE"/>
      <charset val="238"/>
    </font>
    <font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6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i/>
      <sz val="10"/>
      <name val="Times New Roman"/>
      <family val="1"/>
      <charset val="238"/>
    </font>
    <font>
      <b/>
      <sz val="14"/>
      <name val="Calibri"/>
      <family val="2"/>
      <charset val="238"/>
    </font>
    <font>
      <b/>
      <sz val="10"/>
      <name val="Calibri"/>
      <family val="2"/>
      <charset val="238"/>
    </font>
    <font>
      <sz val="16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2"/>
      <color theme="1"/>
      <name val="Times New Roman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9"/>
        <bgColor indexed="64"/>
      </patternFill>
    </fill>
  </fills>
  <borders count="1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5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5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5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5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5"/>
      </top>
      <bottom/>
      <diagonal/>
    </border>
    <border>
      <left style="medium">
        <color indexed="64"/>
      </left>
      <right style="thin">
        <color indexed="64"/>
      </right>
      <top style="thin">
        <color indexed="65"/>
      </top>
      <bottom style="thin">
        <color indexed="64"/>
      </bottom>
      <diagonal/>
    </border>
  </borders>
  <cellStyleXfs count="100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43" fontId="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43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5" fillId="0" borderId="4" applyNumberFormat="0" applyFill="0" applyAlignment="0" applyProtection="0"/>
    <xf numFmtId="0" fontId="25" fillId="0" borderId="0" applyNumberFormat="0" applyFill="0" applyBorder="0" applyAlignment="0" applyProtection="0"/>
    <xf numFmtId="0" fontId="26" fillId="21" borderId="5" applyNumberFormat="0" applyAlignment="0" applyProtection="0"/>
    <xf numFmtId="0" fontId="27" fillId="7" borderId="1" applyNumberFormat="0" applyAlignment="0" applyProtection="0"/>
    <xf numFmtId="0" fontId="28" fillId="0" borderId="6" applyNumberFormat="0" applyFill="0" applyAlignment="0" applyProtection="0"/>
    <xf numFmtId="0" fontId="29" fillId="22" borderId="0" applyNumberFormat="0" applyBorder="0" applyAlignment="0" applyProtection="0"/>
    <xf numFmtId="0" fontId="6" fillId="0" borderId="0"/>
    <xf numFmtId="0" fontId="15" fillId="0" borderId="0"/>
    <xf numFmtId="0" fontId="16" fillId="0" borderId="0"/>
    <xf numFmtId="0" fontId="43" fillId="0" borderId="0"/>
    <xf numFmtId="0" fontId="16" fillId="0" borderId="0"/>
    <xf numFmtId="0" fontId="68" fillId="0" borderId="0"/>
    <xf numFmtId="0" fontId="30" fillId="0" borderId="0"/>
    <xf numFmtId="0" fontId="30" fillId="0" borderId="0"/>
    <xf numFmtId="0" fontId="55" fillId="0" borderId="0"/>
    <xf numFmtId="0" fontId="16" fillId="0" borderId="0"/>
    <xf numFmtId="0" fontId="55" fillId="0" borderId="0"/>
    <xf numFmtId="0" fontId="30" fillId="0" borderId="0"/>
    <xf numFmtId="0" fontId="30" fillId="0" borderId="0"/>
    <xf numFmtId="0" fontId="16" fillId="0" borderId="0"/>
    <xf numFmtId="0" fontId="30" fillId="0" borderId="0"/>
    <xf numFmtId="0" fontId="15" fillId="23" borderId="7" applyNumberFormat="0" applyFont="0" applyAlignment="0" applyProtection="0"/>
    <xf numFmtId="0" fontId="31" fillId="20" borderId="8" applyNumberFormat="0" applyAlignment="0" applyProtection="0"/>
    <xf numFmtId="9" fontId="6" fillId="0" borderId="0" applyFont="0" applyFill="0" applyBorder="0" applyAlignment="0" applyProtection="0"/>
    <xf numFmtId="9" fontId="43" fillId="0" borderId="0" applyFont="0" applyFill="0" applyBorder="0" applyAlignment="0" applyProtection="0"/>
    <xf numFmtId="4" fontId="32" fillId="22" borderId="9" applyNumberFormat="0" applyProtection="0">
      <alignment vertical="center"/>
    </xf>
    <xf numFmtId="4" fontId="33" fillId="24" borderId="9" applyNumberFormat="0" applyProtection="0">
      <alignment vertical="center"/>
    </xf>
    <xf numFmtId="4" fontId="32" fillId="24" borderId="9" applyNumberFormat="0" applyProtection="0">
      <alignment horizontal="left" vertical="center" indent="1"/>
    </xf>
    <xf numFmtId="0" fontId="32" fillId="24" borderId="9" applyNumberFormat="0" applyProtection="0">
      <alignment horizontal="left" vertical="top" indent="1"/>
    </xf>
    <xf numFmtId="4" fontId="34" fillId="3" borderId="9" applyNumberFormat="0" applyProtection="0">
      <alignment horizontal="right" vertical="center"/>
    </xf>
    <xf numFmtId="4" fontId="34" fillId="9" borderId="9" applyNumberFormat="0" applyProtection="0">
      <alignment horizontal="right" vertical="center"/>
    </xf>
    <xf numFmtId="4" fontId="34" fillId="17" borderId="9" applyNumberFormat="0" applyProtection="0">
      <alignment horizontal="right" vertical="center"/>
    </xf>
    <xf numFmtId="4" fontId="34" fillId="11" borderId="9" applyNumberFormat="0" applyProtection="0">
      <alignment horizontal="right" vertical="center"/>
    </xf>
    <xf numFmtId="4" fontId="34" fillId="15" borderId="9" applyNumberFormat="0" applyProtection="0">
      <alignment horizontal="right" vertical="center"/>
    </xf>
    <xf numFmtId="4" fontId="34" fillId="19" borderId="9" applyNumberFormat="0" applyProtection="0">
      <alignment horizontal="right" vertical="center"/>
    </xf>
    <xf numFmtId="4" fontId="34" fillId="18" borderId="9" applyNumberFormat="0" applyProtection="0">
      <alignment horizontal="right" vertical="center"/>
    </xf>
    <xf numFmtId="4" fontId="34" fillId="25" borderId="9" applyNumberFormat="0" applyProtection="0">
      <alignment horizontal="right" vertical="center"/>
    </xf>
    <xf numFmtId="4" fontId="34" fillId="10" borderId="9" applyNumberFormat="0" applyProtection="0">
      <alignment horizontal="right" vertical="center"/>
    </xf>
    <xf numFmtId="4" fontId="32" fillId="26" borderId="10" applyNumberFormat="0" applyProtection="0">
      <alignment horizontal="left" vertical="center" indent="1"/>
    </xf>
    <xf numFmtId="4" fontId="34" fillId="27" borderId="0" applyNumberFormat="0" applyProtection="0">
      <alignment horizontal="left" vertical="center" indent="1"/>
    </xf>
    <xf numFmtId="4" fontId="35" fillId="28" borderId="0" applyNumberFormat="0" applyProtection="0">
      <alignment horizontal="left" vertical="center" indent="1"/>
    </xf>
    <xf numFmtId="4" fontId="34" fillId="29" borderId="9" applyNumberFormat="0" applyProtection="0">
      <alignment horizontal="right" vertical="center"/>
    </xf>
    <xf numFmtId="4" fontId="36" fillId="27" borderId="0" applyNumberFormat="0" applyProtection="0">
      <alignment horizontal="left" vertical="center" indent="1"/>
    </xf>
    <xf numFmtId="4" fontId="36" fillId="30" borderId="0" applyNumberFormat="0" applyProtection="0">
      <alignment horizontal="left" vertical="center" indent="1"/>
    </xf>
    <xf numFmtId="0" fontId="16" fillId="28" borderId="9" applyNumberFormat="0" applyProtection="0">
      <alignment horizontal="left" vertical="center" indent="1"/>
    </xf>
    <xf numFmtId="0" fontId="16" fillId="28" borderId="9" applyNumberFormat="0" applyProtection="0">
      <alignment horizontal="left" vertical="top" indent="1"/>
    </xf>
    <xf numFmtId="0" fontId="16" fillId="30" borderId="9" applyNumberFormat="0" applyProtection="0">
      <alignment horizontal="left" vertical="center" indent="1"/>
    </xf>
    <xf numFmtId="0" fontId="16" fillId="30" borderId="9" applyNumberFormat="0" applyProtection="0">
      <alignment horizontal="left" vertical="top" indent="1"/>
    </xf>
    <xf numFmtId="0" fontId="16" fillId="31" borderId="9" applyNumberFormat="0" applyProtection="0">
      <alignment horizontal="left" vertical="center" indent="1"/>
    </xf>
    <xf numFmtId="0" fontId="16" fillId="31" borderId="9" applyNumberFormat="0" applyProtection="0">
      <alignment horizontal="left" vertical="top" indent="1"/>
    </xf>
    <xf numFmtId="0" fontId="16" fillId="32" borderId="9" applyNumberFormat="0" applyProtection="0">
      <alignment horizontal="left" vertical="center" indent="1"/>
    </xf>
    <xf numFmtId="0" fontId="16" fillId="32" borderId="9" applyNumberFormat="0" applyProtection="0">
      <alignment horizontal="left" vertical="top" indent="1"/>
    </xf>
    <xf numFmtId="4" fontId="32" fillId="30" borderId="0" applyNumberFormat="0" applyProtection="0">
      <alignment horizontal="left" vertical="center" indent="1"/>
    </xf>
    <xf numFmtId="4" fontId="34" fillId="33" borderId="9" applyNumberFormat="0" applyProtection="0">
      <alignment vertical="center"/>
    </xf>
    <xf numFmtId="4" fontId="37" fillId="33" borderId="9" applyNumberFormat="0" applyProtection="0">
      <alignment vertical="center"/>
    </xf>
    <xf numFmtId="4" fontId="34" fillId="33" borderId="9" applyNumberFormat="0" applyProtection="0">
      <alignment horizontal="left" vertical="center" indent="1"/>
    </xf>
    <xf numFmtId="0" fontId="34" fillId="33" borderId="9" applyNumberFormat="0" applyProtection="0">
      <alignment horizontal="left" vertical="top" indent="1"/>
    </xf>
    <xf numFmtId="4" fontId="34" fillId="27" borderId="9" applyNumberFormat="0" applyProtection="0">
      <alignment horizontal="right" vertical="center"/>
    </xf>
    <xf numFmtId="4" fontId="37" fillId="27" borderId="9" applyNumberFormat="0" applyProtection="0">
      <alignment horizontal="right" vertical="center"/>
    </xf>
    <xf numFmtId="4" fontId="34" fillId="29" borderId="9" applyNumberFormat="0" applyProtection="0">
      <alignment horizontal="left" vertical="center" indent="1"/>
    </xf>
    <xf numFmtId="0" fontId="34" fillId="30" borderId="9" applyNumberFormat="0" applyProtection="0">
      <alignment horizontal="left" vertical="top" indent="1"/>
    </xf>
    <xf numFmtId="4" fontId="38" fillId="34" borderId="0" applyNumberFormat="0" applyProtection="0">
      <alignment horizontal="left" vertical="center" indent="1"/>
    </xf>
    <xf numFmtId="4" fontId="39" fillId="27" borderId="9" applyNumberFormat="0" applyProtection="0">
      <alignment horizontal="right" vertical="center"/>
    </xf>
    <xf numFmtId="0" fontId="40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42" fillId="0" borderId="0" applyNumberFormat="0" applyFill="0" applyBorder="0" applyAlignment="0" applyProtection="0"/>
  </cellStyleXfs>
  <cellXfs count="1107">
    <xf numFmtId="0" fontId="0" fillId="0" borderId="0" xfId="0"/>
    <xf numFmtId="0" fontId="2" fillId="0" borderId="0" xfId="0" applyFont="1" applyFill="1" applyBorder="1" applyAlignment="1">
      <alignment horizontal="center"/>
    </xf>
    <xf numFmtId="10" fontId="3" fillId="0" borderId="0" xfId="0" applyNumberFormat="1" applyFont="1" applyFill="1" applyBorder="1"/>
    <xf numFmtId="10" fontId="4" fillId="0" borderId="0" xfId="0" applyNumberFormat="1" applyFont="1" applyFill="1" applyBorder="1"/>
    <xf numFmtId="0" fontId="0" fillId="0" borderId="12" xfId="0" applyNumberFormat="1" applyFill="1" applyBorder="1"/>
    <xf numFmtId="0" fontId="0" fillId="0" borderId="13" xfId="0" applyNumberFormat="1" applyFill="1" applyBorder="1"/>
    <xf numFmtId="0" fontId="2" fillId="0" borderId="14" xfId="0" applyFont="1" applyFill="1" applyBorder="1"/>
    <xf numFmtId="0" fontId="2" fillId="0" borderId="15" xfId="0" applyFont="1" applyFill="1" applyBorder="1" applyAlignment="1">
      <alignment horizontal="left" indent="1"/>
    </xf>
    <xf numFmtId="0" fontId="0" fillId="0" borderId="15" xfId="0" applyFill="1" applyBorder="1" applyAlignment="1">
      <alignment horizontal="left" indent="2"/>
    </xf>
    <xf numFmtId="0" fontId="0" fillId="0" borderId="16" xfId="0" applyFill="1" applyBorder="1" applyAlignment="1">
      <alignment horizontal="left" indent="2"/>
    </xf>
    <xf numFmtId="0" fontId="0" fillId="0" borderId="17" xfId="0" applyNumberFormat="1" applyFill="1" applyBorder="1"/>
    <xf numFmtId="0" fontId="5" fillId="0" borderId="0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0" xfId="0" applyFont="1" applyAlignment="1">
      <alignment horizontal="right"/>
    </xf>
    <xf numFmtId="0" fontId="10" fillId="0" borderId="0" xfId="0" applyFont="1" applyFill="1" applyBorder="1"/>
    <xf numFmtId="0" fontId="11" fillId="0" borderId="0" xfId="0" applyNumberFormat="1" applyFont="1" applyFill="1" applyBorder="1" applyAlignment="1">
      <alignment horizontal="center" vertical="center" textRotation="90"/>
    </xf>
    <xf numFmtId="0" fontId="11" fillId="0" borderId="0" xfId="0" applyFont="1" applyFill="1" applyBorder="1" applyAlignment="1">
      <alignment horizontal="left" vertical="center" wrapText="1" indent="1"/>
    </xf>
    <xf numFmtId="3" fontId="11" fillId="0" borderId="0" xfId="0" applyNumberFormat="1" applyFont="1" applyFill="1" applyBorder="1"/>
    <xf numFmtId="166" fontId="11" fillId="0" borderId="0" xfId="27" applyNumberFormat="1" applyFont="1" applyFill="1" applyBorder="1" applyAlignment="1">
      <alignment horizontal="center"/>
    </xf>
    <xf numFmtId="166" fontId="10" fillId="0" borderId="0" xfId="27" applyNumberFormat="1" applyFont="1" applyFill="1" applyBorder="1"/>
    <xf numFmtId="0" fontId="0" fillId="0" borderId="0" xfId="0" applyAlignment="1">
      <alignment horizontal="center"/>
    </xf>
    <xf numFmtId="0" fontId="0" fillId="0" borderId="18" xfId="0" applyFill="1" applyBorder="1" applyAlignment="1">
      <alignment horizontal="left" indent="2"/>
    </xf>
    <xf numFmtId="0" fontId="0" fillId="0" borderId="19" xfId="0" applyNumberFormat="1" applyFill="1" applyBorder="1"/>
    <xf numFmtId="0" fontId="2" fillId="0" borderId="20" xfId="0" applyFont="1" applyFill="1" applyBorder="1" applyAlignment="1">
      <alignment horizontal="left" indent="1"/>
    </xf>
    <xf numFmtId="0" fontId="14" fillId="0" borderId="0" xfId="0" applyFont="1"/>
    <xf numFmtId="0" fontId="14" fillId="0" borderId="0" xfId="0" applyFont="1" applyFill="1" applyBorder="1" applyAlignment="1">
      <alignment horizontal="left" indent="2"/>
    </xf>
    <xf numFmtId="0" fontId="14" fillId="0" borderId="0" xfId="0" applyFont="1" applyFill="1" applyBorder="1"/>
    <xf numFmtId="0" fontId="14" fillId="0" borderId="0" xfId="0" applyFont="1" applyAlignment="1">
      <alignment horizontal="right"/>
    </xf>
    <xf numFmtId="0" fontId="8" fillId="0" borderId="0" xfId="0" applyFont="1" applyFill="1" applyAlignment="1">
      <alignment wrapText="1"/>
    </xf>
    <xf numFmtId="0" fontId="2" fillId="0" borderId="0" xfId="0" applyFont="1" applyFill="1" applyBorder="1"/>
    <xf numFmtId="0" fontId="9" fillId="0" borderId="21" xfId="0" applyNumberFormat="1" applyFont="1" applyFill="1" applyBorder="1" applyAlignment="1">
      <alignment horizontal="center" vertical="center" textRotation="90" wrapText="1"/>
    </xf>
    <xf numFmtId="0" fontId="9" fillId="0" borderId="22" xfId="0" applyNumberFormat="1" applyFont="1" applyFill="1" applyBorder="1" applyAlignment="1">
      <alignment horizontal="center" vertical="center" textRotation="90" wrapText="1"/>
    </xf>
    <xf numFmtId="0" fontId="9" fillId="0" borderId="23" xfId="0" applyNumberFormat="1" applyFont="1" applyFill="1" applyBorder="1" applyAlignment="1">
      <alignment horizontal="center" vertical="center" textRotation="90"/>
    </xf>
    <xf numFmtId="0" fontId="9" fillId="0" borderId="24" xfId="0" applyNumberFormat="1" applyFont="1" applyFill="1" applyBorder="1" applyAlignment="1">
      <alignment horizontal="center" vertical="center" textRotation="90"/>
    </xf>
    <xf numFmtId="0" fontId="9" fillId="0" borderId="22" xfId="0" applyNumberFormat="1" applyFont="1" applyFill="1" applyBorder="1" applyAlignment="1">
      <alignment horizontal="center" vertical="center" textRotation="90"/>
    </xf>
    <xf numFmtId="0" fontId="44" fillId="0" borderId="0" xfId="0" applyFont="1" applyFill="1" applyBorder="1" applyAlignment="1">
      <alignment horizontal="right"/>
    </xf>
    <xf numFmtId="0" fontId="9" fillId="0" borderId="25" xfId="0" applyFont="1" applyFill="1" applyBorder="1" applyAlignment="1">
      <alignment horizontal="center" vertical="center"/>
    </xf>
    <xf numFmtId="0" fontId="46" fillId="35" borderId="0" xfId="0" applyFont="1" applyFill="1"/>
    <xf numFmtId="0" fontId="47" fillId="0" borderId="0" xfId="0" applyFont="1" applyAlignment="1">
      <alignment horizontal="center" vertical="center"/>
    </xf>
    <xf numFmtId="0" fontId="48" fillId="0" borderId="0" xfId="0" applyFont="1"/>
    <xf numFmtId="0" fontId="0" fillId="0" borderId="0" xfId="0" applyAlignment="1">
      <alignment vertical="top"/>
    </xf>
    <xf numFmtId="10" fontId="0" fillId="0" borderId="0" xfId="0" applyNumberFormat="1"/>
    <xf numFmtId="2" fontId="0" fillId="0" borderId="0" xfId="0" applyNumberFormat="1"/>
    <xf numFmtId="3" fontId="10" fillId="0" borderId="12" xfId="0" applyNumberFormat="1" applyFont="1" applyFill="1" applyBorder="1"/>
    <xf numFmtId="3" fontId="0" fillId="0" borderId="17" xfId="0" applyNumberFormat="1" applyFill="1" applyBorder="1"/>
    <xf numFmtId="3" fontId="0" fillId="0" borderId="12" xfId="0" applyNumberFormat="1" applyFill="1" applyBorder="1"/>
    <xf numFmtId="3" fontId="0" fillId="0" borderId="19" xfId="0" applyNumberFormat="1" applyFill="1" applyBorder="1"/>
    <xf numFmtId="0" fontId="0" fillId="0" borderId="26" xfId="0" applyNumberFormat="1" applyFill="1" applyBorder="1"/>
    <xf numFmtId="3" fontId="10" fillId="0" borderId="27" xfId="27" applyNumberFormat="1" applyFont="1" applyFill="1" applyBorder="1" applyAlignment="1">
      <alignment horizontal="right" indent="1"/>
    </xf>
    <xf numFmtId="2" fontId="12" fillId="0" borderId="28" xfId="27" applyNumberFormat="1" applyFont="1" applyFill="1" applyBorder="1" applyAlignment="1">
      <alignment horizontal="right" indent="1"/>
    </xf>
    <xf numFmtId="3" fontId="10" fillId="0" borderId="29" xfId="27" applyNumberFormat="1" applyFont="1" applyFill="1" applyBorder="1" applyAlignment="1">
      <alignment horizontal="right" indent="1"/>
    </xf>
    <xf numFmtId="2" fontId="12" fillId="0" borderId="30" xfId="27" applyNumberFormat="1" applyFont="1" applyFill="1" applyBorder="1" applyAlignment="1">
      <alignment horizontal="right" indent="1"/>
    </xf>
    <xf numFmtId="3" fontId="10" fillId="0" borderId="17" xfId="27" applyNumberFormat="1" applyFont="1" applyFill="1" applyBorder="1" applyAlignment="1">
      <alignment horizontal="right" indent="1"/>
    </xf>
    <xf numFmtId="2" fontId="12" fillId="0" borderId="31" xfId="27" applyNumberFormat="1" applyFont="1" applyFill="1" applyBorder="1" applyAlignment="1">
      <alignment horizontal="right" indent="1"/>
    </xf>
    <xf numFmtId="3" fontId="10" fillId="0" borderId="12" xfId="27" applyNumberFormat="1" applyFont="1" applyFill="1" applyBorder="1" applyAlignment="1">
      <alignment horizontal="right" indent="1"/>
    </xf>
    <xf numFmtId="2" fontId="12" fillId="0" borderId="32" xfId="27" applyNumberFormat="1" applyFont="1" applyFill="1" applyBorder="1" applyAlignment="1">
      <alignment horizontal="right" indent="1"/>
    </xf>
    <xf numFmtId="3" fontId="10" fillId="0" borderId="26" xfId="27" applyNumberFormat="1" applyFont="1" applyFill="1" applyBorder="1" applyAlignment="1">
      <alignment horizontal="right" indent="1"/>
    </xf>
    <xf numFmtId="2" fontId="12" fillId="0" borderId="33" xfId="27" applyNumberFormat="1" applyFont="1" applyFill="1" applyBorder="1" applyAlignment="1">
      <alignment horizontal="right" indent="1"/>
    </xf>
    <xf numFmtId="3" fontId="10" fillId="0" borderId="19" xfId="27" applyNumberFormat="1" applyFont="1" applyFill="1" applyBorder="1" applyAlignment="1">
      <alignment horizontal="right" indent="1"/>
    </xf>
    <xf numFmtId="2" fontId="12" fillId="0" borderId="34" xfId="27" applyNumberFormat="1" applyFont="1" applyFill="1" applyBorder="1" applyAlignment="1">
      <alignment horizontal="right" indent="1"/>
    </xf>
    <xf numFmtId="3" fontId="70" fillId="0" borderId="0" xfId="0" applyNumberFormat="1" applyFont="1" applyBorder="1" applyAlignment="1">
      <alignment horizontal="left" vertical="center" wrapText="1"/>
    </xf>
    <xf numFmtId="3" fontId="71" fillId="0" borderId="0" xfId="0" applyNumberFormat="1" applyFont="1" applyBorder="1" applyAlignment="1">
      <alignment horizontal="center" vertical="center" wrapText="1"/>
    </xf>
    <xf numFmtId="3" fontId="71" fillId="0" borderId="0" xfId="0" applyNumberFormat="1" applyFont="1" applyBorder="1" applyAlignment="1">
      <alignment horizontal="left" vertical="center" wrapText="1"/>
    </xf>
    <xf numFmtId="3" fontId="72" fillId="35" borderId="0" xfId="0" applyNumberFormat="1" applyFont="1" applyFill="1" applyBorder="1" applyAlignment="1">
      <alignment horizontal="left" vertical="center"/>
    </xf>
    <xf numFmtId="168" fontId="70" fillId="35" borderId="0" xfId="0" applyNumberFormat="1" applyFont="1" applyFill="1" applyBorder="1" applyAlignment="1">
      <alignment horizontal="right" vertical="center" wrapText="1"/>
    </xf>
    <xf numFmtId="4" fontId="70" fillId="35" borderId="0" xfId="0" applyNumberFormat="1" applyFont="1" applyFill="1" applyBorder="1" applyAlignment="1">
      <alignment horizontal="right" vertical="center" wrapText="1"/>
    </xf>
    <xf numFmtId="3" fontId="72" fillId="35" borderId="0" xfId="0" applyNumberFormat="1" applyFont="1" applyFill="1" applyBorder="1" applyAlignment="1">
      <alignment horizontal="left" vertical="center" indent="1"/>
    </xf>
    <xf numFmtId="168" fontId="70" fillId="35" borderId="0" xfId="0" applyNumberFormat="1" applyFont="1" applyFill="1" applyBorder="1" applyAlignment="1">
      <alignment horizontal="left" vertical="center" wrapText="1"/>
    </xf>
    <xf numFmtId="3" fontId="70" fillId="0" borderId="0" xfId="0" applyNumberFormat="1" applyFont="1" applyFill="1" applyBorder="1" applyAlignment="1">
      <alignment horizontal="left" vertical="center" wrapText="1"/>
    </xf>
    <xf numFmtId="168" fontId="70" fillId="0" borderId="0" xfId="0" applyNumberFormat="1" applyFont="1" applyFill="1" applyBorder="1" applyAlignment="1">
      <alignment horizontal="left" vertical="center" wrapText="1"/>
    </xf>
    <xf numFmtId="4" fontId="70" fillId="0" borderId="0" xfId="0" applyNumberFormat="1" applyFont="1" applyBorder="1" applyAlignment="1">
      <alignment horizontal="right" vertical="center" wrapText="1"/>
    </xf>
    <xf numFmtId="168" fontId="70" fillId="0" borderId="0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2" fillId="0" borderId="0" xfId="46" applyNumberFormat="1" applyFont="1" applyFill="1" applyBorder="1" applyAlignment="1">
      <alignment horizontal="right" vertical="center" wrapText="1" indent="1"/>
    </xf>
    <xf numFmtId="3" fontId="51" fillId="0" borderId="0" xfId="46" applyNumberFormat="1" applyFont="1" applyFill="1" applyBorder="1" applyAlignment="1">
      <alignment horizontal="center" vertical="center" wrapText="1"/>
    </xf>
    <xf numFmtId="3" fontId="53" fillId="0" borderId="0" xfId="46" applyNumberFormat="1" applyFont="1" applyBorder="1" applyAlignment="1">
      <alignment horizontal="left" vertical="center" wrapText="1"/>
    </xf>
    <xf numFmtId="3" fontId="54" fillId="0" borderId="0" xfId="46" applyNumberFormat="1" applyFont="1" applyBorder="1" applyAlignment="1">
      <alignment horizontal="center" vertical="center" wrapText="1"/>
    </xf>
    <xf numFmtId="3" fontId="52" fillId="0" borderId="0" xfId="46" applyNumberFormat="1" applyFont="1" applyBorder="1" applyAlignment="1">
      <alignment horizontal="left" vertical="center" wrapText="1"/>
    </xf>
    <xf numFmtId="3" fontId="53" fillId="0" borderId="0" xfId="46" applyNumberFormat="1" applyFont="1" applyFill="1" applyBorder="1" applyAlignment="1">
      <alignment horizontal="left" vertical="center" wrapText="1"/>
    </xf>
    <xf numFmtId="3" fontId="51" fillId="0" borderId="0" xfId="48" applyNumberFormat="1" applyFont="1" applyBorder="1" applyAlignment="1">
      <alignment vertical="center" wrapText="1"/>
    </xf>
    <xf numFmtId="3" fontId="15" fillId="0" borderId="0" xfId="48" applyNumberFormat="1" applyFont="1" applyBorder="1" applyAlignment="1">
      <alignment horizontal="center" vertical="center" wrapText="1"/>
    </xf>
    <xf numFmtId="4" fontId="15" fillId="0" borderId="0" xfId="48" applyNumberFormat="1" applyFont="1" applyBorder="1" applyAlignment="1">
      <alignment vertical="center" wrapText="1"/>
    </xf>
    <xf numFmtId="3" fontId="15" fillId="0" borderId="0" xfId="48" applyNumberFormat="1" applyFont="1" applyBorder="1" applyAlignment="1">
      <alignment vertical="center" wrapText="1"/>
    </xf>
    <xf numFmtId="4" fontId="52" fillId="0" borderId="0" xfId="48" applyNumberFormat="1" applyFont="1" applyBorder="1" applyAlignment="1">
      <alignment vertical="center" wrapText="1"/>
    </xf>
    <xf numFmtId="3" fontId="52" fillId="0" borderId="0" xfId="48" applyNumberFormat="1" applyFont="1" applyBorder="1" applyAlignment="1">
      <alignment vertical="center" wrapText="1"/>
    </xf>
    <xf numFmtId="3" fontId="57" fillId="0" borderId="0" xfId="48" applyNumberFormat="1" applyFont="1" applyBorder="1" applyAlignment="1">
      <alignment horizontal="right" vertical="center"/>
    </xf>
    <xf numFmtId="0" fontId="15" fillId="0" borderId="0" xfId="48" applyFont="1" applyBorder="1" applyAlignment="1">
      <alignment vertical="center" wrapText="1"/>
    </xf>
    <xf numFmtId="2" fontId="15" fillId="0" borderId="0" xfId="48" applyNumberFormat="1" applyFont="1" applyBorder="1" applyAlignment="1">
      <alignment vertical="center" wrapText="1"/>
    </xf>
    <xf numFmtId="0" fontId="15" fillId="0" borderId="0" xfId="48" applyFont="1"/>
    <xf numFmtId="2" fontId="15" fillId="0" borderId="0" xfId="48" applyNumberFormat="1" applyFont="1"/>
    <xf numFmtId="0" fontId="52" fillId="0" borderId="0" xfId="48" applyFont="1"/>
    <xf numFmtId="0" fontId="57" fillId="0" borderId="0" xfId="48" applyFont="1"/>
    <xf numFmtId="0" fontId="16" fillId="0" borderId="0" xfId="53" applyFont="1" applyAlignment="1"/>
    <xf numFmtId="0" fontId="16" fillId="0" borderId="0" xfId="53" applyFont="1"/>
    <xf numFmtId="0" fontId="15" fillId="0" borderId="0" xfId="48" applyFont="1" applyAlignment="1">
      <alignment vertical="center" wrapText="1"/>
    </xf>
    <xf numFmtId="0" fontId="15" fillId="0" borderId="0" xfId="48" applyFont="1" applyAlignment="1">
      <alignment horizontal="center" vertical="center" wrapText="1"/>
    </xf>
    <xf numFmtId="3" fontId="15" fillId="0" borderId="0" xfId="48" applyNumberFormat="1" applyFont="1" applyAlignment="1">
      <alignment vertical="center" wrapText="1"/>
    </xf>
    <xf numFmtId="0" fontId="55" fillId="0" borderId="0" xfId="48"/>
    <xf numFmtId="3" fontId="59" fillId="0" borderId="0" xfId="48" applyNumberFormat="1" applyFont="1" applyBorder="1" applyAlignment="1">
      <alignment vertical="center" wrapText="1"/>
    </xf>
    <xf numFmtId="3" fontId="53" fillId="0" borderId="0" xfId="48" applyNumberFormat="1" applyFont="1" applyBorder="1" applyAlignment="1">
      <alignment horizontal="center" vertical="center" wrapText="1"/>
    </xf>
    <xf numFmtId="3" fontId="53" fillId="0" borderId="0" xfId="48" applyNumberFormat="1" applyFont="1" applyFill="1" applyBorder="1" applyAlignment="1">
      <alignment vertical="center" wrapText="1"/>
    </xf>
    <xf numFmtId="3" fontId="53" fillId="0" borderId="0" xfId="48" applyNumberFormat="1" applyFont="1" applyBorder="1" applyAlignment="1">
      <alignment vertical="center" wrapText="1"/>
    </xf>
    <xf numFmtId="0" fontId="57" fillId="0" borderId="0" xfId="48" applyFont="1" applyAlignment="1">
      <alignment horizontal="right"/>
    </xf>
    <xf numFmtId="3" fontId="60" fillId="0" borderId="0" xfId="48" applyNumberFormat="1" applyFont="1" applyBorder="1" applyAlignment="1">
      <alignment vertical="center" wrapText="1"/>
    </xf>
    <xf numFmtId="3" fontId="58" fillId="0" borderId="0" xfId="48" applyNumberFormat="1" applyFont="1" applyBorder="1" applyAlignment="1">
      <alignment vertical="center" wrapText="1"/>
    </xf>
    <xf numFmtId="0" fontId="16" fillId="0" borderId="0" xfId="53" applyFont="1" applyAlignment="1">
      <alignment vertical="center"/>
    </xf>
    <xf numFmtId="0" fontId="57" fillId="0" borderId="0" xfId="53" applyFont="1" applyAlignment="1">
      <alignment horizontal="right" vertical="center"/>
    </xf>
    <xf numFmtId="3" fontId="53" fillId="0" borderId="0" xfId="51" applyNumberFormat="1" applyFont="1" applyFill="1" applyBorder="1" applyAlignment="1">
      <alignment horizontal="left" vertical="center" wrapText="1"/>
    </xf>
    <xf numFmtId="3" fontId="51" fillId="0" borderId="0" xfId="46" applyNumberFormat="1" applyFont="1" applyFill="1" applyBorder="1" applyAlignment="1">
      <alignment vertical="center" wrapText="1"/>
    </xf>
    <xf numFmtId="3" fontId="15" fillId="0" borderId="0" xfId="46" applyNumberFormat="1" applyFont="1" applyFill="1" applyAlignment="1">
      <alignment horizontal="right" vertical="center" wrapText="1" indent="1"/>
    </xf>
    <xf numFmtId="3" fontId="15" fillId="0" borderId="0" xfId="46" applyNumberFormat="1" applyFont="1" applyFill="1" applyAlignment="1">
      <alignment horizontal="right" vertical="center" wrapText="1"/>
    </xf>
    <xf numFmtId="3" fontId="15" fillId="0" borderId="0" xfId="46" applyNumberFormat="1" applyFont="1" applyFill="1" applyAlignment="1">
      <alignment vertical="center" wrapText="1"/>
    </xf>
    <xf numFmtId="0" fontId="30" fillId="0" borderId="0" xfId="47" applyFill="1"/>
    <xf numFmtId="170" fontId="0" fillId="0" borderId="0" xfId="27" applyNumberFormat="1" applyFont="1" applyFill="1" applyBorder="1"/>
    <xf numFmtId="171" fontId="0" fillId="0" borderId="0" xfId="0" applyNumberFormat="1" applyFill="1" applyBorder="1"/>
    <xf numFmtId="0" fontId="0" fillId="0" borderId="0" xfId="0" applyFont="1" applyFill="1" applyBorder="1"/>
    <xf numFmtId="0" fontId="0" fillId="0" borderId="0" xfId="0" applyFill="1"/>
    <xf numFmtId="14" fontId="0" fillId="0" borderId="0" xfId="0" applyNumberFormat="1" applyFill="1"/>
    <xf numFmtId="172" fontId="0" fillId="0" borderId="0" xfId="0" applyNumberFormat="1" applyFill="1" applyBorder="1"/>
    <xf numFmtId="0" fontId="0" fillId="0" borderId="0" xfId="0" applyBorder="1"/>
    <xf numFmtId="3" fontId="14" fillId="0" borderId="0" xfId="0" applyNumberFormat="1" applyFont="1"/>
    <xf numFmtId="0" fontId="2" fillId="0" borderId="35" xfId="0" applyFont="1" applyFill="1" applyBorder="1" applyAlignment="1">
      <alignment horizontal="right"/>
    </xf>
    <xf numFmtId="0" fontId="2" fillId="0" borderId="15" xfId="0" applyFont="1" applyFill="1" applyBorder="1" applyAlignment="1">
      <alignment horizontal="right"/>
    </xf>
    <xf numFmtId="0" fontId="2" fillId="0" borderId="18" xfId="0" applyFont="1" applyFill="1" applyBorder="1"/>
    <xf numFmtId="0" fontId="2" fillId="0" borderId="26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0" fillId="0" borderId="35" xfId="0" applyFill="1" applyBorder="1"/>
    <xf numFmtId="3" fontId="0" fillId="0" borderId="36" xfId="0" applyNumberFormat="1" applyFill="1" applyBorder="1"/>
    <xf numFmtId="3" fontId="0" fillId="0" borderId="37" xfId="0" applyNumberFormat="1" applyFill="1" applyBorder="1"/>
    <xf numFmtId="0" fontId="0" fillId="0" borderId="36" xfId="0" applyFill="1" applyBorder="1"/>
    <xf numFmtId="0" fontId="0" fillId="0" borderId="37" xfId="0" applyFill="1" applyBorder="1"/>
    <xf numFmtId="3" fontId="0" fillId="0" borderId="38" xfId="0" applyNumberFormat="1" applyFill="1" applyBorder="1"/>
    <xf numFmtId="0" fontId="0" fillId="0" borderId="15" xfId="0" applyFill="1" applyBorder="1"/>
    <xf numFmtId="3" fontId="0" fillId="0" borderId="31" xfId="0" applyNumberFormat="1" applyFill="1" applyBorder="1"/>
    <xf numFmtId="0" fontId="0" fillId="0" borderId="17" xfId="0" applyFill="1" applyBorder="1"/>
    <xf numFmtId="0" fontId="0" fillId="0" borderId="31" xfId="0" applyFill="1" applyBorder="1"/>
    <xf numFmtId="3" fontId="0" fillId="0" borderId="39" xfId="0" applyNumberFormat="1" applyFill="1" applyBorder="1"/>
    <xf numFmtId="0" fontId="0" fillId="0" borderId="39" xfId="0" applyFill="1" applyBorder="1"/>
    <xf numFmtId="0" fontId="0" fillId="0" borderId="16" xfId="0" applyFill="1" applyBorder="1"/>
    <xf numFmtId="3" fontId="0" fillId="0" borderId="40" xfId="0" applyNumberFormat="1" applyFill="1" applyBorder="1"/>
    <xf numFmtId="3" fontId="0" fillId="0" borderId="41" xfId="0" applyNumberFormat="1" applyFill="1" applyBorder="1"/>
    <xf numFmtId="0" fontId="0" fillId="0" borderId="40" xfId="0" applyFill="1" applyBorder="1"/>
    <xf numFmtId="0" fontId="0" fillId="0" borderId="41" xfId="0" applyFill="1" applyBorder="1"/>
    <xf numFmtId="3" fontId="0" fillId="0" borderId="42" xfId="0" applyNumberFormat="1" applyFill="1" applyBorder="1"/>
    <xf numFmtId="0" fontId="4" fillId="0" borderId="0" xfId="0" applyFont="1" applyFill="1"/>
    <xf numFmtId="0" fontId="2" fillId="0" borderId="25" xfId="0" applyFont="1" applyFill="1" applyBorder="1"/>
    <xf numFmtId="3" fontId="2" fillId="0" borderId="43" xfId="0" applyNumberFormat="1" applyFont="1" applyFill="1" applyBorder="1"/>
    <xf numFmtId="10" fontId="0" fillId="0" borderId="36" xfId="57" applyNumberFormat="1" applyFont="1" applyFill="1" applyBorder="1"/>
    <xf numFmtId="10" fontId="0" fillId="0" borderId="37" xfId="57" applyNumberFormat="1" applyFont="1" applyFill="1" applyBorder="1"/>
    <xf numFmtId="10" fontId="0" fillId="0" borderId="38" xfId="57" applyNumberFormat="1" applyFont="1" applyFill="1" applyBorder="1"/>
    <xf numFmtId="10" fontId="0" fillId="0" borderId="17" xfId="57" applyNumberFormat="1" applyFont="1" applyFill="1" applyBorder="1"/>
    <xf numFmtId="10" fontId="0" fillId="0" borderId="31" xfId="57" applyNumberFormat="1" applyFont="1" applyFill="1" applyBorder="1"/>
    <xf numFmtId="10" fontId="0" fillId="0" borderId="39" xfId="57" applyNumberFormat="1" applyFont="1" applyFill="1" applyBorder="1"/>
    <xf numFmtId="10" fontId="0" fillId="0" borderId="40" xfId="57" applyNumberFormat="1" applyFont="1" applyFill="1" applyBorder="1"/>
    <xf numFmtId="10" fontId="0" fillId="0" borderId="41" xfId="57" applyNumberFormat="1" applyFont="1" applyFill="1" applyBorder="1"/>
    <xf numFmtId="10" fontId="0" fillId="0" borderId="42" xfId="57" applyNumberFormat="1" applyFont="1" applyFill="1" applyBorder="1"/>
    <xf numFmtId="0" fontId="2" fillId="0" borderId="25" xfId="0" applyFont="1" applyFill="1" applyBorder="1" applyAlignment="1">
      <alignment horizontal="left"/>
    </xf>
    <xf numFmtId="3" fontId="9" fillId="0" borderId="23" xfId="0" applyNumberFormat="1" applyFont="1" applyFill="1" applyBorder="1"/>
    <xf numFmtId="10" fontId="13" fillId="0" borderId="22" xfId="0" applyNumberFormat="1" applyFont="1" applyFill="1" applyBorder="1"/>
    <xf numFmtId="3" fontId="2" fillId="0" borderId="24" xfId="0" applyNumberFormat="1" applyFont="1" applyFill="1" applyBorder="1"/>
    <xf numFmtId="10" fontId="3" fillId="0" borderId="22" xfId="0" applyNumberFormat="1" applyFont="1" applyFill="1" applyBorder="1"/>
    <xf numFmtId="10" fontId="3" fillId="0" borderId="43" xfId="0" applyNumberFormat="1" applyFont="1" applyFill="1" applyBorder="1"/>
    <xf numFmtId="10" fontId="12" fillId="0" borderId="31" xfId="0" applyNumberFormat="1" applyFont="1" applyFill="1" applyBorder="1"/>
    <xf numFmtId="10" fontId="4" fillId="0" borderId="31" xfId="0" applyNumberFormat="1" applyFont="1" applyFill="1" applyBorder="1"/>
    <xf numFmtId="3" fontId="0" fillId="0" borderId="45" xfId="0" applyNumberFormat="1" applyFill="1" applyBorder="1"/>
    <xf numFmtId="0" fontId="0" fillId="0" borderId="0" xfId="0" applyNumberFormat="1" applyFill="1"/>
    <xf numFmtId="10" fontId="4" fillId="0" borderId="33" xfId="0" applyNumberFormat="1" applyFont="1" applyFill="1" applyBorder="1"/>
    <xf numFmtId="0" fontId="0" fillId="0" borderId="46" xfId="0" applyNumberFormat="1" applyFill="1" applyBorder="1"/>
    <xf numFmtId="3" fontId="2" fillId="0" borderId="23" xfId="0" applyNumberFormat="1" applyFont="1" applyFill="1" applyBorder="1"/>
    <xf numFmtId="3" fontId="2" fillId="0" borderId="36" xfId="0" applyNumberFormat="1" applyFont="1" applyFill="1" applyBorder="1"/>
    <xf numFmtId="3" fontId="0" fillId="0" borderId="47" xfId="0" applyNumberFormat="1" applyFill="1" applyBorder="1"/>
    <xf numFmtId="0" fontId="0" fillId="0" borderId="48" xfId="0" applyNumberFormat="1" applyFill="1" applyBorder="1"/>
    <xf numFmtId="0" fontId="0" fillId="0" borderId="45" xfId="0" applyNumberFormat="1" applyFill="1" applyBorder="1"/>
    <xf numFmtId="3" fontId="0" fillId="0" borderId="48" xfId="0" applyNumberFormat="1" applyFill="1" applyBorder="1"/>
    <xf numFmtId="3" fontId="0" fillId="0" borderId="49" xfId="0" applyNumberFormat="1" applyFill="1" applyBorder="1"/>
    <xf numFmtId="10" fontId="4" fillId="0" borderId="41" xfId="0" applyNumberFormat="1" applyFont="1" applyFill="1" applyBorder="1"/>
    <xf numFmtId="0" fontId="2" fillId="0" borderId="50" xfId="0" applyFont="1" applyFill="1" applyBorder="1" applyAlignment="1">
      <alignment horizontal="left"/>
    </xf>
    <xf numFmtId="3" fontId="2" fillId="0" borderId="51" xfId="0" applyNumberFormat="1" applyFont="1" applyFill="1" applyBorder="1"/>
    <xf numFmtId="10" fontId="3" fillId="0" borderId="52" xfId="0" applyNumberFormat="1" applyFont="1" applyFill="1" applyBorder="1"/>
    <xf numFmtId="0" fontId="2" fillId="0" borderId="53" xfId="0" applyFont="1" applyFill="1" applyBorder="1" applyAlignment="1">
      <alignment horizontal="center" vertical="center"/>
    </xf>
    <xf numFmtId="0" fontId="2" fillId="0" borderId="54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55" xfId="0" applyFill="1" applyBorder="1" applyAlignment="1">
      <alignment horizontal="left"/>
    </xf>
    <xf numFmtId="3" fontId="0" fillId="0" borderId="27" xfId="0" applyNumberFormat="1" applyFill="1" applyBorder="1"/>
    <xf numFmtId="3" fontId="0" fillId="0" borderId="28" xfId="0" applyNumberFormat="1" applyFill="1" applyBorder="1"/>
    <xf numFmtId="3" fontId="0" fillId="0" borderId="20" xfId="0" applyNumberFormat="1" applyFill="1" applyBorder="1"/>
    <xf numFmtId="10" fontId="4" fillId="0" borderId="20" xfId="57" applyNumberFormat="1" applyFont="1" applyFill="1" applyBorder="1"/>
    <xf numFmtId="1" fontId="0" fillId="0" borderId="35" xfId="0" applyNumberFormat="1" applyFill="1" applyBorder="1"/>
    <xf numFmtId="0" fontId="0" fillId="0" borderId="56" xfId="0" applyFill="1" applyBorder="1" applyAlignment="1">
      <alignment horizontal="left"/>
    </xf>
    <xf numFmtId="0" fontId="0" fillId="0" borderId="31" xfId="0" applyNumberFormat="1" applyFill="1" applyBorder="1"/>
    <xf numFmtId="3" fontId="0" fillId="0" borderId="15" xfId="0" applyNumberFormat="1" applyFill="1" applyBorder="1"/>
    <xf numFmtId="10" fontId="4" fillId="0" borderId="15" xfId="57" applyNumberFormat="1" applyFont="1" applyFill="1" applyBorder="1"/>
    <xf numFmtId="1" fontId="0" fillId="0" borderId="15" xfId="0" applyNumberFormat="1" applyFill="1" applyBorder="1"/>
    <xf numFmtId="0" fontId="0" fillId="0" borderId="15" xfId="0" applyFill="1" applyBorder="1" applyAlignment="1">
      <alignment horizontal="left"/>
    </xf>
    <xf numFmtId="0" fontId="0" fillId="0" borderId="57" xfId="0" applyFill="1" applyBorder="1" applyAlignment="1">
      <alignment horizontal="left"/>
    </xf>
    <xf numFmtId="0" fontId="0" fillId="0" borderId="58" xfId="0" applyNumberFormat="1" applyFill="1" applyBorder="1"/>
    <xf numFmtId="0" fontId="0" fillId="0" borderId="41" xfId="0" applyNumberFormat="1" applyFill="1" applyBorder="1"/>
    <xf numFmtId="0" fontId="0" fillId="0" borderId="59" xfId="0" applyNumberFormat="1" applyFill="1" applyBorder="1"/>
    <xf numFmtId="0" fontId="0" fillId="0" borderId="60" xfId="0" applyNumberFormat="1" applyFill="1" applyBorder="1"/>
    <xf numFmtId="0" fontId="0" fillId="0" borderId="61" xfId="0" applyFill="1" applyBorder="1"/>
    <xf numFmtId="10" fontId="4" fillId="0" borderId="62" xfId="57" applyNumberFormat="1" applyFont="1" applyFill="1" applyBorder="1"/>
    <xf numFmtId="0" fontId="2" fillId="0" borderId="63" xfId="0" applyFont="1" applyFill="1" applyBorder="1" applyAlignment="1">
      <alignment horizontal="left"/>
    </xf>
    <xf numFmtId="3" fontId="2" fillId="0" borderId="37" xfId="0" applyNumberFormat="1" applyFont="1" applyFill="1" applyBorder="1"/>
    <xf numFmtId="3" fontId="2" fillId="0" borderId="64" xfId="0" applyNumberFormat="1" applyFont="1" applyFill="1" applyBorder="1"/>
    <xf numFmtId="3" fontId="2" fillId="0" borderId="65" xfId="0" applyNumberFormat="1" applyFont="1" applyFill="1" applyBorder="1"/>
    <xf numFmtId="3" fontId="2" fillId="0" borderId="35" xfId="0" applyNumberFormat="1" applyFont="1" applyFill="1" applyBorder="1"/>
    <xf numFmtId="10" fontId="3" fillId="0" borderId="43" xfId="57" applyNumberFormat="1" applyFont="1" applyFill="1" applyBorder="1"/>
    <xf numFmtId="1" fontId="2" fillId="0" borderId="25" xfId="0" applyNumberFormat="1" applyFont="1" applyFill="1" applyBorder="1"/>
    <xf numFmtId="165" fontId="4" fillId="0" borderId="40" xfId="57" applyNumberFormat="1" applyFont="1" applyFill="1" applyBorder="1"/>
    <xf numFmtId="165" fontId="4" fillId="0" borderId="41" xfId="57" applyNumberFormat="1" applyFont="1" applyFill="1" applyBorder="1"/>
    <xf numFmtId="165" fontId="4" fillId="0" borderId="13" xfId="57" applyNumberFormat="1" applyFont="1" applyFill="1" applyBorder="1"/>
    <xf numFmtId="165" fontId="4" fillId="0" borderId="66" xfId="57" applyNumberFormat="1" applyFont="1" applyFill="1" applyBorder="1"/>
    <xf numFmtId="165" fontId="4" fillId="0" borderId="16" xfId="57" applyNumberFormat="1" applyFont="1" applyFill="1" applyBorder="1"/>
    <xf numFmtId="3" fontId="0" fillId="0" borderId="64" xfId="0" applyNumberFormat="1" applyFill="1" applyBorder="1"/>
    <xf numFmtId="3" fontId="0" fillId="0" borderId="67" xfId="0" applyNumberFormat="1" applyFill="1" applyBorder="1"/>
    <xf numFmtId="3" fontId="0" fillId="0" borderId="35" xfId="0" applyNumberFormat="1" applyFill="1" applyBorder="1"/>
    <xf numFmtId="3" fontId="0" fillId="0" borderId="32" xfId="0" applyNumberFormat="1" applyFill="1" applyBorder="1"/>
    <xf numFmtId="3" fontId="0" fillId="0" borderId="13" xfId="0" applyNumberFormat="1" applyFill="1" applyBorder="1"/>
    <xf numFmtId="3" fontId="0" fillId="0" borderId="68" xfId="0" applyNumberFormat="1" applyFill="1" applyBorder="1"/>
    <xf numFmtId="3" fontId="0" fillId="0" borderId="16" xfId="0" applyNumberFormat="1" applyFill="1" applyBorder="1"/>
    <xf numFmtId="3" fontId="2" fillId="0" borderId="69" xfId="27" applyNumberFormat="1" applyFont="1" applyFill="1" applyBorder="1"/>
    <xf numFmtId="3" fontId="2" fillId="0" borderId="52" xfId="27" applyNumberFormat="1" applyFont="1" applyFill="1" applyBorder="1"/>
    <xf numFmtId="1" fontId="2" fillId="0" borderId="69" xfId="27" applyNumberFormat="1" applyFont="1" applyFill="1" applyBorder="1"/>
    <xf numFmtId="1" fontId="2" fillId="0" borderId="52" xfId="27" applyNumberFormat="1" applyFont="1" applyFill="1" applyBorder="1"/>
    <xf numFmtId="3" fontId="2" fillId="0" borderId="43" xfId="27" applyNumberFormat="1" applyFont="1" applyFill="1" applyBorder="1"/>
    <xf numFmtId="0" fontId="0" fillId="0" borderId="53" xfId="0" applyFill="1" applyBorder="1"/>
    <xf numFmtId="10" fontId="4" fillId="0" borderId="36" xfId="57" applyNumberFormat="1" applyFont="1" applyFill="1" applyBorder="1"/>
    <xf numFmtId="10" fontId="4" fillId="0" borderId="37" xfId="57" applyNumberFormat="1" applyFont="1" applyFill="1" applyBorder="1"/>
    <xf numFmtId="10" fontId="4" fillId="0" borderId="38" xfId="57" applyNumberFormat="1" applyFont="1" applyFill="1" applyBorder="1"/>
    <xf numFmtId="0" fontId="0" fillId="0" borderId="56" xfId="0" applyFill="1" applyBorder="1"/>
    <xf numFmtId="10" fontId="4" fillId="0" borderId="17" xfId="57" applyNumberFormat="1" applyFont="1" applyFill="1" applyBorder="1"/>
    <xf numFmtId="10" fontId="4" fillId="0" borderId="31" xfId="57" applyNumberFormat="1" applyFont="1" applyFill="1" applyBorder="1"/>
    <xf numFmtId="10" fontId="4" fillId="0" borderId="39" xfId="57" applyNumberFormat="1" applyFont="1" applyFill="1" applyBorder="1"/>
    <xf numFmtId="0" fontId="0" fillId="0" borderId="54" xfId="0" applyFill="1" applyBorder="1"/>
    <xf numFmtId="10" fontId="4" fillId="0" borderId="26" xfId="57" applyNumberFormat="1" applyFont="1" applyFill="1" applyBorder="1"/>
    <xf numFmtId="10" fontId="4" fillId="0" borderId="33" xfId="57" applyNumberFormat="1" applyFont="1" applyFill="1" applyBorder="1"/>
    <xf numFmtId="10" fontId="4" fillId="0" borderId="70" xfId="57" applyNumberFormat="1" applyFont="1" applyFill="1" applyBorder="1"/>
    <xf numFmtId="10" fontId="3" fillId="0" borderId="24" xfId="57" applyNumberFormat="1" applyFont="1" applyFill="1" applyBorder="1"/>
    <xf numFmtId="10" fontId="3" fillId="0" borderId="22" xfId="57" applyNumberFormat="1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66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2" fillId="0" borderId="41" xfId="0" applyFont="1" applyFill="1" applyBorder="1" applyAlignment="1">
      <alignment horizontal="center"/>
    </xf>
    <xf numFmtId="3" fontId="0" fillId="0" borderId="65" xfId="0" applyNumberFormat="1" applyFill="1" applyBorder="1"/>
    <xf numFmtId="10" fontId="50" fillId="0" borderId="35" xfId="0" applyNumberFormat="1" applyFont="1" applyFill="1" applyBorder="1" applyAlignment="1">
      <alignment horizontal="right"/>
    </xf>
    <xf numFmtId="3" fontId="0" fillId="0" borderId="44" xfId="0" applyNumberFormat="1" applyFill="1" applyBorder="1"/>
    <xf numFmtId="10" fontId="50" fillId="0" borderId="15" xfId="0" applyNumberFormat="1" applyFont="1" applyFill="1" applyBorder="1" applyAlignment="1">
      <alignment horizontal="right"/>
    </xf>
    <xf numFmtId="3" fontId="0" fillId="0" borderId="66" xfId="0" applyNumberFormat="1" applyFill="1" applyBorder="1"/>
    <xf numFmtId="10" fontId="50" fillId="0" borderId="16" xfId="0" applyNumberFormat="1" applyFont="1" applyFill="1" applyBorder="1" applyAlignment="1">
      <alignment horizontal="right"/>
    </xf>
    <xf numFmtId="0" fontId="2" fillId="0" borderId="50" xfId="0" applyFont="1" applyFill="1" applyBorder="1"/>
    <xf numFmtId="3" fontId="0" fillId="0" borderId="63" xfId="0" applyNumberFormat="1" applyFill="1" applyBorder="1"/>
    <xf numFmtId="3" fontId="0" fillId="0" borderId="22" xfId="0" applyNumberFormat="1" applyFill="1" applyBorder="1"/>
    <xf numFmtId="3" fontId="0" fillId="0" borderId="71" xfId="0" applyNumberFormat="1" applyFill="1" applyBorder="1"/>
    <xf numFmtId="3" fontId="0" fillId="0" borderId="72" xfId="0" applyNumberFormat="1" applyFill="1" applyBorder="1"/>
    <xf numFmtId="3" fontId="0" fillId="0" borderId="25" xfId="0" applyNumberFormat="1" applyFill="1" applyBorder="1"/>
    <xf numFmtId="10" fontId="50" fillId="0" borderId="25" xfId="0" applyNumberFormat="1" applyFont="1" applyFill="1" applyBorder="1" applyAlignment="1">
      <alignment horizontal="right"/>
    </xf>
    <xf numFmtId="49" fontId="50" fillId="0" borderId="69" xfId="0" applyNumberFormat="1" applyFont="1" applyFill="1" applyBorder="1" applyAlignment="1">
      <alignment horizontal="right"/>
    </xf>
    <xf numFmtId="49" fontId="50" fillId="0" borderId="73" xfId="0" applyNumberFormat="1" applyFont="1" applyFill="1" applyBorder="1" applyAlignment="1">
      <alignment horizontal="right"/>
    </xf>
    <xf numFmtId="49" fontId="50" fillId="0" borderId="52" xfId="0" applyNumberFormat="1" applyFont="1" applyFill="1" applyBorder="1" applyAlignment="1">
      <alignment horizontal="right"/>
    </xf>
    <xf numFmtId="49" fontId="50" fillId="0" borderId="51" xfId="0" applyNumberFormat="1" applyFont="1" applyFill="1" applyBorder="1" applyAlignment="1">
      <alignment horizontal="right"/>
    </xf>
    <xf numFmtId="49" fontId="50" fillId="0" borderId="50" xfId="0" applyNumberFormat="1" applyFont="1" applyFill="1" applyBorder="1" applyAlignment="1">
      <alignment horizontal="right"/>
    </xf>
    <xf numFmtId="9" fontId="0" fillId="0" borderId="0" xfId="57" applyFont="1" applyFill="1"/>
    <xf numFmtId="3" fontId="10" fillId="0" borderId="30" xfId="27" applyNumberFormat="1" applyFont="1" applyFill="1" applyBorder="1" applyAlignment="1">
      <alignment horizontal="right" indent="1"/>
    </xf>
    <xf numFmtId="3" fontId="10" fillId="0" borderId="32" xfId="27" applyNumberFormat="1" applyFont="1" applyFill="1" applyBorder="1" applyAlignment="1">
      <alignment horizontal="right" indent="1"/>
    </xf>
    <xf numFmtId="3" fontId="10" fillId="0" borderId="34" xfId="27" applyNumberFormat="1" applyFont="1" applyFill="1" applyBorder="1" applyAlignment="1">
      <alignment horizontal="right" indent="1"/>
    </xf>
    <xf numFmtId="3" fontId="9" fillId="0" borderId="24" xfId="27" applyNumberFormat="1" applyFont="1" applyFill="1" applyBorder="1" applyAlignment="1">
      <alignment horizontal="right" indent="1"/>
    </xf>
    <xf numFmtId="3" fontId="9" fillId="0" borderId="21" xfId="27" applyNumberFormat="1" applyFont="1" applyFill="1" applyBorder="1" applyAlignment="1">
      <alignment horizontal="right" indent="1"/>
    </xf>
    <xf numFmtId="2" fontId="13" fillId="0" borderId="22" xfId="27" applyNumberFormat="1" applyFont="1" applyFill="1" applyBorder="1" applyAlignment="1">
      <alignment horizontal="right" indent="1"/>
    </xf>
    <xf numFmtId="3" fontId="9" fillId="0" borderId="23" xfId="27" applyNumberFormat="1" applyFont="1" applyFill="1" applyBorder="1" applyAlignment="1">
      <alignment horizontal="right" indent="1"/>
    </xf>
    <xf numFmtId="2" fontId="13" fillId="0" borderId="21" xfId="27" applyNumberFormat="1" applyFont="1" applyFill="1" applyBorder="1" applyAlignment="1">
      <alignment horizontal="right" indent="1"/>
    </xf>
    <xf numFmtId="0" fontId="1" fillId="0" borderId="53" xfId="0" applyFont="1" applyFill="1" applyBorder="1"/>
    <xf numFmtId="3" fontId="0" fillId="0" borderId="36" xfId="0" applyNumberFormat="1" applyFill="1" applyBorder="1" applyAlignment="1">
      <alignment horizontal="right" indent="1"/>
    </xf>
    <xf numFmtId="165" fontId="4" fillId="0" borderId="37" xfId="57" applyNumberFormat="1" applyFont="1" applyFill="1" applyBorder="1" applyAlignment="1">
      <alignment horizontal="right" indent="1"/>
    </xf>
    <xf numFmtId="3" fontId="0" fillId="0" borderId="17" xfId="0" applyNumberFormat="1" applyFill="1" applyBorder="1" applyAlignment="1">
      <alignment horizontal="right" indent="1"/>
    </xf>
    <xf numFmtId="165" fontId="4" fillId="0" borderId="31" xfId="57" applyNumberFormat="1" applyFont="1" applyFill="1" applyBorder="1" applyAlignment="1">
      <alignment horizontal="right" indent="1"/>
    </xf>
    <xf numFmtId="3" fontId="0" fillId="0" borderId="40" xfId="0" applyNumberFormat="1" applyFill="1" applyBorder="1" applyAlignment="1">
      <alignment horizontal="right" indent="1"/>
    </xf>
    <xf numFmtId="165" fontId="4" fillId="0" borderId="41" xfId="57" applyNumberFormat="1" applyFont="1" applyFill="1" applyBorder="1" applyAlignment="1">
      <alignment horizontal="right" indent="1"/>
    </xf>
    <xf numFmtId="0" fontId="14" fillId="0" borderId="0" xfId="0" applyFont="1" applyFill="1" applyAlignment="1">
      <alignment horizontal="right"/>
    </xf>
    <xf numFmtId="0" fontId="2" fillId="0" borderId="53" xfId="0" applyFont="1" applyFill="1" applyBorder="1" applyAlignment="1">
      <alignment horizontal="center"/>
    </xf>
    <xf numFmtId="0" fontId="0" fillId="0" borderId="74" xfId="0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33" xfId="0" applyFont="1" applyFill="1" applyBorder="1" applyAlignment="1">
      <alignment horizontal="center"/>
    </xf>
    <xf numFmtId="0" fontId="2" fillId="0" borderId="33" xfId="0" applyFont="1" applyFill="1" applyBorder="1"/>
    <xf numFmtId="0" fontId="2" fillId="0" borderId="25" xfId="0" applyFont="1" applyFill="1" applyBorder="1" applyAlignment="1">
      <alignment horizontal="center"/>
    </xf>
    <xf numFmtId="0" fontId="0" fillId="0" borderId="53" xfId="0" applyFill="1" applyBorder="1" applyAlignment="1">
      <alignment horizontal="center"/>
    </xf>
    <xf numFmtId="3" fontId="0" fillId="0" borderId="67" xfId="0" applyNumberFormat="1" applyFill="1" applyBorder="1" applyAlignment="1">
      <alignment horizontal="right" indent="1"/>
    </xf>
    <xf numFmtId="165" fontId="4" fillId="0" borderId="37" xfId="0" applyNumberFormat="1" applyFont="1" applyFill="1" applyBorder="1" applyAlignment="1">
      <alignment horizontal="right" indent="1"/>
    </xf>
    <xf numFmtId="0" fontId="0" fillId="0" borderId="56" xfId="0" applyFill="1" applyBorder="1" applyAlignment="1">
      <alignment horizontal="center"/>
    </xf>
    <xf numFmtId="3" fontId="0" fillId="0" borderId="32" xfId="0" applyNumberFormat="1" applyFill="1" applyBorder="1" applyAlignment="1">
      <alignment horizontal="right" indent="1"/>
    </xf>
    <xf numFmtId="165" fontId="4" fillId="0" borderId="31" xfId="0" applyNumberFormat="1" applyFont="1" applyFill="1" applyBorder="1" applyAlignment="1">
      <alignment horizontal="right" indent="1"/>
    </xf>
    <xf numFmtId="0" fontId="0" fillId="0" borderId="54" xfId="0" applyFill="1" applyBorder="1" applyAlignment="1">
      <alignment horizontal="center"/>
    </xf>
    <xf numFmtId="3" fontId="0" fillId="0" borderId="68" xfId="0" applyNumberFormat="1" applyFill="1" applyBorder="1" applyAlignment="1">
      <alignment horizontal="right" indent="1"/>
    </xf>
    <xf numFmtId="165" fontId="4" fillId="0" borderId="41" xfId="0" applyNumberFormat="1" applyFont="1" applyFill="1" applyBorder="1" applyAlignment="1">
      <alignment horizontal="right" indent="1"/>
    </xf>
    <xf numFmtId="0" fontId="0" fillId="0" borderId="0" xfId="0" applyFill="1" applyAlignment="1">
      <alignment horizontal="center"/>
    </xf>
    <xf numFmtId="0" fontId="9" fillId="0" borderId="44" xfId="0" applyFont="1" applyFill="1" applyBorder="1" applyAlignment="1">
      <alignment horizontal="centerContinuous" vertical="center"/>
    </xf>
    <xf numFmtId="0" fontId="9" fillId="0" borderId="39" xfId="0" applyFont="1" applyFill="1" applyBorder="1" applyAlignment="1">
      <alignment horizontal="centerContinuous" vertical="center"/>
    </xf>
    <xf numFmtId="0" fontId="9" fillId="0" borderId="68" xfId="0" applyFont="1" applyFill="1" applyBorder="1" applyAlignment="1">
      <alignment horizontal="center" vertical="center" textRotation="90" wrapText="1"/>
    </xf>
    <xf numFmtId="0" fontId="9" fillId="0" borderId="42" xfId="0" applyFont="1" applyFill="1" applyBorder="1" applyAlignment="1">
      <alignment horizontal="center" vertical="center" textRotation="90" wrapText="1"/>
    </xf>
    <xf numFmtId="3" fontId="10" fillId="0" borderId="17" xfId="0" applyNumberFormat="1" applyFont="1" applyFill="1" applyBorder="1" applyAlignment="1">
      <alignment horizontal="right" indent="1"/>
    </xf>
    <xf numFmtId="3" fontId="10" fillId="0" borderId="32" xfId="0" applyNumberFormat="1" applyFont="1" applyFill="1" applyBorder="1" applyAlignment="1">
      <alignment horizontal="right" indent="1"/>
    </xf>
    <xf numFmtId="165" fontId="13" fillId="0" borderId="31" xfId="57" applyNumberFormat="1" applyFont="1" applyFill="1" applyBorder="1" applyAlignment="1">
      <alignment vertical="center"/>
    </xf>
    <xf numFmtId="165" fontId="13" fillId="0" borderId="31" xfId="57" applyNumberFormat="1" applyFont="1" applyFill="1" applyBorder="1" applyAlignment="1">
      <alignment horizontal="center" vertical="center"/>
    </xf>
    <xf numFmtId="3" fontId="10" fillId="0" borderId="40" xfId="0" applyNumberFormat="1" applyFont="1" applyFill="1" applyBorder="1" applyAlignment="1">
      <alignment horizontal="right" indent="1"/>
    </xf>
    <xf numFmtId="3" fontId="10" fillId="0" borderId="68" xfId="0" applyNumberFormat="1" applyFont="1" applyFill="1" applyBorder="1" applyAlignment="1">
      <alignment horizontal="right" indent="1"/>
    </xf>
    <xf numFmtId="165" fontId="13" fillId="0" borderId="41" xfId="57" applyNumberFormat="1" applyFont="1" applyFill="1" applyBorder="1" applyAlignment="1">
      <alignment vertical="center"/>
    </xf>
    <xf numFmtId="0" fontId="1" fillId="0" borderId="0" xfId="0" applyFont="1" applyFill="1"/>
    <xf numFmtId="3" fontId="10" fillId="0" borderId="12" xfId="0" applyNumberFormat="1" applyFont="1" applyFill="1" applyBorder="1" applyAlignment="1">
      <alignment horizontal="right" indent="1"/>
    </xf>
    <xf numFmtId="3" fontId="10" fillId="0" borderId="36" xfId="0" applyNumberFormat="1" applyFont="1" applyFill="1" applyBorder="1" applyAlignment="1">
      <alignment horizontal="right" indent="1"/>
    </xf>
    <xf numFmtId="3" fontId="10" fillId="0" borderId="67" xfId="0" applyNumberFormat="1" applyFont="1" applyFill="1" applyBorder="1" applyAlignment="1">
      <alignment horizontal="right" indent="1"/>
    </xf>
    <xf numFmtId="165" fontId="13" fillId="0" borderId="37" xfId="57" applyNumberFormat="1" applyFont="1" applyFill="1" applyBorder="1" applyAlignment="1">
      <alignment vertical="center"/>
    </xf>
    <xf numFmtId="3" fontId="10" fillId="0" borderId="35" xfId="0" applyNumberFormat="1" applyFont="1" applyFill="1" applyBorder="1" applyAlignment="1">
      <alignment horizontal="right" indent="1"/>
    </xf>
    <xf numFmtId="3" fontId="10" fillId="0" borderId="15" xfId="0" applyNumberFormat="1" applyFont="1" applyFill="1" applyBorder="1" applyAlignment="1">
      <alignment horizontal="right" indent="1"/>
    </xf>
    <xf numFmtId="3" fontId="10" fillId="0" borderId="16" xfId="0" applyNumberFormat="1" applyFont="1" applyFill="1" applyBorder="1" applyAlignment="1">
      <alignment horizontal="right" indent="1"/>
    </xf>
    <xf numFmtId="168" fontId="71" fillId="0" borderId="68" xfId="0" applyNumberFormat="1" applyFont="1" applyBorder="1" applyAlignment="1">
      <alignment horizontal="center" vertical="center" textRotation="90" wrapText="1"/>
    </xf>
    <xf numFmtId="4" fontId="71" fillId="0" borderId="68" xfId="0" applyNumberFormat="1" applyFont="1" applyBorder="1" applyAlignment="1">
      <alignment horizontal="center" vertical="center" textRotation="90" wrapText="1"/>
    </xf>
    <xf numFmtId="3" fontId="10" fillId="0" borderId="64" xfId="0" applyNumberFormat="1" applyFont="1" applyFill="1" applyBorder="1" applyAlignment="1">
      <alignment horizontal="right" indent="1"/>
    </xf>
    <xf numFmtId="3" fontId="10" fillId="0" borderId="13" xfId="0" applyNumberFormat="1" applyFont="1" applyFill="1" applyBorder="1" applyAlignment="1">
      <alignment horizontal="right" indent="1"/>
    </xf>
    <xf numFmtId="3" fontId="71" fillId="0" borderId="24" xfId="0" applyNumberFormat="1" applyFont="1" applyFill="1" applyBorder="1" applyAlignment="1">
      <alignment horizontal="left" vertical="center" wrapText="1"/>
    </xf>
    <xf numFmtId="170" fontId="0" fillId="0" borderId="0" xfId="0" applyNumberFormat="1" applyFill="1"/>
    <xf numFmtId="0" fontId="15" fillId="0" borderId="0" xfId="48" applyFont="1" applyFill="1" applyBorder="1" applyAlignment="1">
      <alignment vertical="center" wrapText="1"/>
    </xf>
    <xf numFmtId="3" fontId="57" fillId="0" borderId="0" xfId="48" applyNumberFormat="1" applyFont="1" applyFill="1" applyBorder="1" applyAlignment="1">
      <alignment horizontal="right" vertical="center"/>
    </xf>
    <xf numFmtId="3" fontId="10" fillId="0" borderId="32" xfId="48" applyNumberFormat="1" applyFont="1" applyFill="1" applyBorder="1" applyAlignment="1">
      <alignment horizontal="right" indent="3"/>
    </xf>
    <xf numFmtId="3" fontId="10" fillId="0" borderId="32" xfId="48" applyNumberFormat="1" applyFont="1" applyFill="1" applyBorder="1" applyAlignment="1">
      <alignment horizontal="right" vertical="center" wrapText="1" indent="3"/>
    </xf>
    <xf numFmtId="165" fontId="12" fillId="0" borderId="32" xfId="48" applyNumberFormat="1" applyFont="1" applyFill="1" applyBorder="1" applyAlignment="1">
      <alignment horizontal="right" vertical="center" wrapText="1" indent="2"/>
    </xf>
    <xf numFmtId="3" fontId="6" fillId="0" borderId="32" xfId="48" applyNumberFormat="1" applyFont="1" applyFill="1" applyBorder="1" applyAlignment="1">
      <alignment horizontal="right" vertical="center" wrapText="1" indent="2"/>
    </xf>
    <xf numFmtId="3" fontId="9" fillId="0" borderId="32" xfId="48" applyNumberFormat="1" applyFont="1" applyFill="1" applyBorder="1" applyAlignment="1">
      <alignment horizontal="right" vertical="center" wrapText="1" indent="2"/>
    </xf>
    <xf numFmtId="3" fontId="70" fillId="0" borderId="32" xfId="48" applyNumberFormat="1" applyFont="1" applyFill="1" applyBorder="1" applyAlignment="1">
      <alignment horizontal="right" vertical="center" wrapText="1" indent="2"/>
    </xf>
    <xf numFmtId="165" fontId="72" fillId="0" borderId="32" xfId="48" applyNumberFormat="1" applyFont="1" applyFill="1" applyBorder="1" applyAlignment="1">
      <alignment horizontal="right" vertical="center" wrapText="1" indent="2"/>
    </xf>
    <xf numFmtId="3" fontId="9" fillId="0" borderId="25" xfId="48" applyNumberFormat="1" applyFont="1" applyFill="1" applyBorder="1" applyAlignment="1">
      <alignment horizontal="center" vertical="center" wrapText="1"/>
    </xf>
    <xf numFmtId="3" fontId="9" fillId="0" borderId="24" xfId="48" applyNumberFormat="1" applyFont="1" applyFill="1" applyBorder="1" applyAlignment="1">
      <alignment horizontal="center" vertical="center" wrapText="1"/>
    </xf>
    <xf numFmtId="3" fontId="9" fillId="0" borderId="21" xfId="48" applyNumberFormat="1" applyFont="1" applyFill="1" applyBorder="1" applyAlignment="1">
      <alignment horizontal="center" vertical="center" wrapText="1"/>
    </xf>
    <xf numFmtId="3" fontId="9" fillId="0" borderId="22" xfId="48" applyNumberFormat="1" applyFont="1" applyFill="1" applyBorder="1" applyAlignment="1">
      <alignment horizontal="center" vertical="center" wrapText="1"/>
    </xf>
    <xf numFmtId="3" fontId="9" fillId="0" borderId="23" xfId="48" applyNumberFormat="1" applyFont="1" applyFill="1" applyBorder="1" applyAlignment="1">
      <alignment horizontal="center" vertical="center" wrapText="1"/>
    </xf>
    <xf numFmtId="0" fontId="10" fillId="0" borderId="27" xfId="48" applyFont="1" applyFill="1" applyBorder="1" applyAlignment="1">
      <alignment horizontal="right" indent="4"/>
    </xf>
    <xf numFmtId="3" fontId="10" fillId="0" borderId="30" xfId="48" applyNumberFormat="1" applyFont="1" applyFill="1" applyBorder="1" applyAlignment="1">
      <alignment horizontal="right" indent="3"/>
    </xf>
    <xf numFmtId="165" fontId="12" fillId="0" borderId="28" xfId="48" applyNumberFormat="1" applyFont="1" applyFill="1" applyBorder="1" applyAlignment="1">
      <alignment horizontal="right" indent="2"/>
    </xf>
    <xf numFmtId="3" fontId="2" fillId="0" borderId="30" xfId="48" applyNumberFormat="1" applyFont="1" applyFill="1" applyBorder="1" applyAlignment="1">
      <alignment horizontal="center"/>
    </xf>
    <xf numFmtId="165" fontId="4" fillId="0" borderId="28" xfId="48" applyNumberFormat="1" applyFont="1" applyFill="1" applyBorder="1" applyAlignment="1">
      <alignment horizontal="right" indent="2"/>
    </xf>
    <xf numFmtId="0" fontId="10" fillId="0" borderId="17" xfId="48" applyFont="1" applyFill="1" applyBorder="1" applyAlignment="1">
      <alignment horizontal="right" indent="4"/>
    </xf>
    <xf numFmtId="165" fontId="12" fillId="0" borderId="31" xfId="48" applyNumberFormat="1" applyFont="1" applyFill="1" applyBorder="1" applyAlignment="1">
      <alignment horizontal="right" indent="2"/>
    </xf>
    <xf numFmtId="3" fontId="2" fillId="0" borderId="32" xfId="48" applyNumberFormat="1" applyFont="1" applyFill="1" applyBorder="1" applyAlignment="1">
      <alignment horizontal="center"/>
    </xf>
    <xf numFmtId="165" fontId="4" fillId="0" borderId="31" xfId="48" applyNumberFormat="1" applyFont="1" applyFill="1" applyBorder="1" applyAlignment="1">
      <alignment horizontal="right" indent="2"/>
    </xf>
    <xf numFmtId="0" fontId="10" fillId="0" borderId="26" xfId="48" applyFont="1" applyFill="1" applyBorder="1" applyAlignment="1">
      <alignment horizontal="right" indent="4"/>
    </xf>
    <xf numFmtId="3" fontId="10" fillId="0" borderId="34" xfId="48" applyNumberFormat="1" applyFont="1" applyFill="1" applyBorder="1" applyAlignment="1">
      <alignment horizontal="right" indent="3"/>
    </xf>
    <xf numFmtId="165" fontId="12" fillId="0" borderId="33" xfId="48" applyNumberFormat="1" applyFont="1" applyFill="1" applyBorder="1" applyAlignment="1">
      <alignment horizontal="right" indent="2"/>
    </xf>
    <xf numFmtId="3" fontId="2" fillId="0" borderId="34" xfId="48" applyNumberFormat="1" applyFont="1" applyFill="1" applyBorder="1" applyAlignment="1">
      <alignment horizontal="center"/>
    </xf>
    <xf numFmtId="165" fontId="4" fillId="0" borderId="33" xfId="48" applyNumberFormat="1" applyFont="1" applyFill="1" applyBorder="1" applyAlignment="1">
      <alignment horizontal="right" indent="2"/>
    </xf>
    <xf numFmtId="0" fontId="9" fillId="0" borderId="25" xfId="48" applyFont="1" applyFill="1" applyBorder="1" applyAlignment="1">
      <alignment horizontal="left" indent="1"/>
    </xf>
    <xf numFmtId="0" fontId="9" fillId="0" borderId="24" xfId="48" applyFont="1" applyFill="1" applyBorder="1" applyAlignment="1">
      <alignment horizontal="center"/>
    </xf>
    <xf numFmtId="165" fontId="13" fillId="0" borderId="22" xfId="48" applyNumberFormat="1" applyFont="1" applyFill="1" applyBorder="1" applyAlignment="1">
      <alignment horizontal="right" indent="2"/>
    </xf>
    <xf numFmtId="3" fontId="9" fillId="0" borderId="21" xfId="48" applyNumberFormat="1" applyFont="1" applyFill="1" applyBorder="1" applyAlignment="1">
      <alignment horizontal="center"/>
    </xf>
    <xf numFmtId="165" fontId="3" fillId="0" borderId="22" xfId="48" applyNumberFormat="1" applyFont="1" applyFill="1" applyBorder="1" applyAlignment="1">
      <alignment horizontal="right" indent="2"/>
    </xf>
    <xf numFmtId="3" fontId="6" fillId="0" borderId="32" xfId="48" applyNumberFormat="1" applyFont="1" applyFill="1" applyBorder="1" applyAlignment="1">
      <alignment horizontal="right" vertical="center" wrapText="1" indent="4"/>
    </xf>
    <xf numFmtId="165" fontId="12" fillId="0" borderId="32" xfId="48" applyNumberFormat="1" applyFont="1" applyFill="1" applyBorder="1" applyAlignment="1">
      <alignment horizontal="right" wrapText="1" indent="4"/>
    </xf>
    <xf numFmtId="3" fontId="10" fillId="0" borderId="32" xfId="48" applyNumberFormat="1" applyFont="1" applyFill="1" applyBorder="1" applyAlignment="1">
      <alignment horizontal="right" indent="4"/>
    </xf>
    <xf numFmtId="165" fontId="12" fillId="0" borderId="31" xfId="48" applyNumberFormat="1" applyFont="1" applyFill="1" applyBorder="1" applyAlignment="1">
      <alignment horizontal="right" wrapText="1" indent="4"/>
    </xf>
    <xf numFmtId="165" fontId="12" fillId="0" borderId="30" xfId="48" applyNumberFormat="1" applyFont="1" applyFill="1" applyBorder="1" applyAlignment="1">
      <alignment horizontal="right" wrapText="1" indent="4"/>
    </xf>
    <xf numFmtId="3" fontId="10" fillId="0" borderId="30" xfId="48" applyNumberFormat="1" applyFont="1" applyFill="1" applyBorder="1" applyAlignment="1">
      <alignment horizontal="right" indent="4"/>
    </xf>
    <xf numFmtId="165" fontId="12" fillId="0" borderId="28" xfId="48" applyNumberFormat="1" applyFont="1" applyFill="1" applyBorder="1" applyAlignment="1">
      <alignment horizontal="right" wrapText="1" indent="4"/>
    </xf>
    <xf numFmtId="165" fontId="12" fillId="0" borderId="34" xfId="48" applyNumberFormat="1" applyFont="1" applyFill="1" applyBorder="1" applyAlignment="1">
      <alignment horizontal="right" wrapText="1" indent="4"/>
    </xf>
    <xf numFmtId="3" fontId="10" fillId="0" borderId="34" xfId="48" applyNumberFormat="1" applyFont="1" applyFill="1" applyBorder="1" applyAlignment="1">
      <alignment horizontal="right" indent="4"/>
    </xf>
    <xf numFmtId="165" fontId="12" fillId="0" borderId="33" xfId="48" applyNumberFormat="1" applyFont="1" applyFill="1" applyBorder="1" applyAlignment="1">
      <alignment horizontal="right" wrapText="1" indent="4"/>
    </xf>
    <xf numFmtId="165" fontId="13" fillId="0" borderId="21" xfId="48" applyNumberFormat="1" applyFont="1" applyFill="1" applyBorder="1" applyAlignment="1">
      <alignment horizontal="right" wrapText="1" indent="4"/>
    </xf>
    <xf numFmtId="3" fontId="9" fillId="0" borderId="21" xfId="48" applyNumberFormat="1" applyFont="1" applyFill="1" applyBorder="1" applyAlignment="1">
      <alignment horizontal="right" indent="4"/>
    </xf>
    <xf numFmtId="165" fontId="13" fillId="0" borderId="22" xfId="48" applyNumberFormat="1" applyFont="1" applyFill="1" applyBorder="1" applyAlignment="1">
      <alignment horizontal="right" wrapText="1" indent="4"/>
    </xf>
    <xf numFmtId="3" fontId="73" fillId="0" borderId="24" xfId="48" applyNumberFormat="1" applyFont="1" applyFill="1" applyBorder="1" applyAlignment="1">
      <alignment horizontal="center" vertical="center" wrapText="1"/>
    </xf>
    <xf numFmtId="3" fontId="73" fillId="0" borderId="21" xfId="48" applyNumberFormat="1" applyFont="1" applyFill="1" applyBorder="1" applyAlignment="1">
      <alignment horizontal="center" vertical="center" wrapText="1"/>
    </xf>
    <xf numFmtId="3" fontId="73" fillId="0" borderId="22" xfId="48" applyNumberFormat="1" applyFont="1" applyFill="1" applyBorder="1" applyAlignment="1">
      <alignment horizontal="center" vertical="center" wrapText="1"/>
    </xf>
    <xf numFmtId="3" fontId="70" fillId="0" borderId="76" xfId="48" applyNumberFormat="1" applyFont="1" applyFill="1" applyBorder="1" applyAlignment="1">
      <alignment horizontal="right" indent="6"/>
    </xf>
    <xf numFmtId="165" fontId="72" fillId="0" borderId="76" xfId="48" applyNumberFormat="1" applyFont="1" applyFill="1" applyBorder="1" applyAlignment="1">
      <alignment horizontal="right" wrapText="1" indent="5"/>
    </xf>
    <xf numFmtId="165" fontId="72" fillId="0" borderId="77" xfId="48" applyNumberFormat="1" applyFont="1" applyFill="1" applyBorder="1" applyAlignment="1">
      <alignment horizontal="right" wrapText="1" indent="4"/>
    </xf>
    <xf numFmtId="3" fontId="73" fillId="0" borderId="24" xfId="48" applyNumberFormat="1" applyFont="1" applyFill="1" applyBorder="1" applyAlignment="1">
      <alignment horizontal="left" vertical="center" wrapText="1" indent="1"/>
    </xf>
    <xf numFmtId="3" fontId="73" fillId="0" borderId="21" xfId="48" applyNumberFormat="1" applyFont="1" applyFill="1" applyBorder="1" applyAlignment="1">
      <alignment horizontal="right" vertical="center" wrapText="1" indent="6"/>
    </xf>
    <xf numFmtId="165" fontId="71" fillId="0" borderId="21" xfId="48" applyNumberFormat="1" applyFont="1" applyFill="1" applyBorder="1" applyAlignment="1">
      <alignment horizontal="right" wrapText="1" indent="5"/>
    </xf>
    <xf numFmtId="165" fontId="71" fillId="0" borderId="22" xfId="48" applyNumberFormat="1" applyFont="1" applyFill="1" applyBorder="1" applyAlignment="1">
      <alignment horizontal="right" wrapText="1" indent="4"/>
    </xf>
    <xf numFmtId="3" fontId="70" fillId="0" borderId="30" xfId="0" applyNumberFormat="1" applyFont="1" applyFill="1" applyBorder="1" applyAlignment="1">
      <alignment horizontal="center"/>
    </xf>
    <xf numFmtId="165" fontId="72" fillId="0" borderId="32" xfId="48" applyNumberFormat="1" applyFont="1" applyFill="1" applyBorder="1" applyAlignment="1">
      <alignment horizontal="right" wrapText="1" indent="6"/>
    </xf>
    <xf numFmtId="3" fontId="70" fillId="0" borderId="32" xfId="0" applyNumberFormat="1" applyFont="1" applyFill="1" applyBorder="1" applyAlignment="1">
      <alignment horizontal="center"/>
    </xf>
    <xf numFmtId="165" fontId="72" fillId="0" borderId="31" xfId="48" applyNumberFormat="1" applyFont="1" applyFill="1" applyBorder="1" applyAlignment="1">
      <alignment horizontal="right" wrapText="1" indent="6"/>
    </xf>
    <xf numFmtId="165" fontId="72" fillId="0" borderId="30" xfId="48" applyNumberFormat="1" applyFont="1" applyFill="1" applyBorder="1" applyAlignment="1">
      <alignment horizontal="right" wrapText="1" indent="6"/>
    </xf>
    <xf numFmtId="165" fontId="72" fillId="0" borderId="28" xfId="48" applyNumberFormat="1" applyFont="1" applyFill="1" applyBorder="1" applyAlignment="1">
      <alignment horizontal="right" wrapText="1" indent="6"/>
    </xf>
    <xf numFmtId="165" fontId="72" fillId="0" borderId="34" xfId="48" applyNumberFormat="1" applyFont="1" applyFill="1" applyBorder="1" applyAlignment="1">
      <alignment horizontal="right" wrapText="1" indent="6"/>
    </xf>
    <xf numFmtId="3" fontId="70" fillId="0" borderId="34" xfId="0" applyNumberFormat="1" applyFont="1" applyFill="1" applyBorder="1" applyAlignment="1">
      <alignment horizontal="center"/>
    </xf>
    <xf numFmtId="165" fontId="72" fillId="0" borderId="33" xfId="48" applyNumberFormat="1" applyFont="1" applyFill="1" applyBorder="1" applyAlignment="1">
      <alignment horizontal="right" wrapText="1" indent="6"/>
    </xf>
    <xf numFmtId="165" fontId="71" fillId="0" borderId="21" xfId="48" applyNumberFormat="1" applyFont="1" applyFill="1" applyBorder="1" applyAlignment="1">
      <alignment horizontal="right" vertical="center" wrapText="1" indent="6"/>
    </xf>
    <xf numFmtId="165" fontId="71" fillId="0" borderId="22" xfId="48" applyNumberFormat="1" applyFont="1" applyFill="1" applyBorder="1" applyAlignment="1">
      <alignment horizontal="right" vertical="center" wrapText="1" indent="6"/>
    </xf>
    <xf numFmtId="3" fontId="73" fillId="0" borderId="21" xfId="46" applyNumberFormat="1" applyFont="1" applyFill="1" applyBorder="1" applyAlignment="1">
      <alignment horizontal="center" vertical="center" wrapText="1"/>
    </xf>
    <xf numFmtId="3" fontId="70" fillId="0" borderId="30" xfId="46" applyNumberFormat="1" applyFont="1" applyFill="1" applyBorder="1" applyAlignment="1">
      <alignment horizontal="right" vertical="center" wrapText="1" indent="1"/>
    </xf>
    <xf numFmtId="3" fontId="70" fillId="0" borderId="32" xfId="46" applyNumberFormat="1" applyFont="1" applyFill="1" applyBorder="1" applyAlignment="1">
      <alignment horizontal="right" vertical="center" wrapText="1" indent="1"/>
    </xf>
    <xf numFmtId="3" fontId="70" fillId="0" borderId="34" xfId="46" applyNumberFormat="1" applyFont="1" applyFill="1" applyBorder="1" applyAlignment="1">
      <alignment horizontal="right" vertical="center" wrapText="1" indent="1"/>
    </xf>
    <xf numFmtId="3" fontId="73" fillId="0" borderId="24" xfId="46" applyNumberFormat="1" applyFont="1" applyFill="1" applyBorder="1" applyAlignment="1">
      <alignment horizontal="center" vertical="center" wrapText="1"/>
    </xf>
    <xf numFmtId="3" fontId="70" fillId="0" borderId="31" xfId="46" applyNumberFormat="1" applyFont="1" applyFill="1" applyBorder="1" applyAlignment="1">
      <alignment horizontal="right" vertical="center" wrapText="1" indent="1"/>
    </xf>
    <xf numFmtId="3" fontId="70" fillId="0" borderId="33" xfId="46" applyNumberFormat="1" applyFont="1" applyFill="1" applyBorder="1" applyAlignment="1">
      <alignment horizontal="right" vertical="center" wrapText="1" indent="1"/>
    </xf>
    <xf numFmtId="3" fontId="73" fillId="0" borderId="22" xfId="46" applyNumberFormat="1" applyFont="1" applyFill="1" applyBorder="1" applyAlignment="1">
      <alignment horizontal="center" vertical="center" wrapText="1"/>
    </xf>
    <xf numFmtId="3" fontId="70" fillId="0" borderId="28" xfId="46" applyNumberFormat="1" applyFont="1" applyFill="1" applyBorder="1" applyAlignment="1">
      <alignment horizontal="right" vertical="center" wrapText="1" indent="1"/>
    </xf>
    <xf numFmtId="3" fontId="54" fillId="0" borderId="0" xfId="51" applyNumberFormat="1" applyFont="1" applyFill="1" applyBorder="1" applyAlignment="1">
      <alignment horizontal="center" vertical="center" wrapText="1"/>
    </xf>
    <xf numFmtId="3" fontId="52" fillId="0" borderId="0" xfId="51" applyNumberFormat="1" applyFont="1" applyFill="1" applyBorder="1" applyAlignment="1">
      <alignment horizontal="left" vertical="center" wrapText="1"/>
    </xf>
    <xf numFmtId="3" fontId="63" fillId="0" borderId="0" xfId="51" applyNumberFormat="1" applyFont="1" applyFill="1" applyBorder="1" applyAlignment="1">
      <alignment horizontal="right" vertical="center"/>
    </xf>
    <xf numFmtId="3" fontId="70" fillId="0" borderId="31" xfId="28" applyNumberFormat="1" applyFont="1" applyFill="1" applyBorder="1" applyAlignment="1">
      <alignment horizontal="right" vertical="center" wrapText="1" indent="1"/>
    </xf>
    <xf numFmtId="3" fontId="73" fillId="0" borderId="63" xfId="28" applyNumberFormat="1" applyFont="1" applyFill="1" applyBorder="1" applyAlignment="1">
      <alignment horizontal="right" vertical="center" wrapText="1" indent="1"/>
    </xf>
    <xf numFmtId="3" fontId="73" fillId="0" borderId="72" xfId="28" applyNumberFormat="1" applyFont="1" applyFill="1" applyBorder="1" applyAlignment="1">
      <alignment horizontal="right" vertical="center" wrapText="1" indent="1"/>
    </xf>
    <xf numFmtId="3" fontId="73" fillId="0" borderId="22" xfId="28" applyNumberFormat="1" applyFont="1" applyFill="1" applyBorder="1" applyAlignment="1">
      <alignment horizontal="right" vertical="center" wrapText="1" indent="1"/>
    </xf>
    <xf numFmtId="3" fontId="73" fillId="0" borderId="24" xfId="49" applyNumberFormat="1" applyFont="1" applyFill="1" applyBorder="1" applyAlignment="1">
      <alignment horizontal="center" vertical="center" wrapText="1"/>
    </xf>
    <xf numFmtId="3" fontId="73" fillId="0" borderId="21" xfId="49" applyNumberFormat="1" applyFont="1" applyFill="1" applyBorder="1" applyAlignment="1">
      <alignment horizontal="center" vertical="center" wrapText="1"/>
    </xf>
    <xf numFmtId="3" fontId="73" fillId="0" borderId="22" xfId="51" applyNumberFormat="1" applyFont="1" applyFill="1" applyBorder="1" applyAlignment="1">
      <alignment horizontal="center" vertical="center" wrapText="1"/>
    </xf>
    <xf numFmtId="0" fontId="57" fillId="0" borderId="0" xfId="53" applyFont="1" applyFill="1" applyAlignment="1">
      <alignment horizontal="right" vertical="center"/>
    </xf>
    <xf numFmtId="3" fontId="52" fillId="0" borderId="0" xfId="46" applyNumberFormat="1" applyFont="1" applyFill="1" applyAlignment="1">
      <alignment vertical="center" wrapText="1"/>
    </xf>
    <xf numFmtId="3" fontId="15" fillId="0" borderId="0" xfId="46" applyNumberFormat="1" applyFont="1" applyFill="1" applyAlignment="1">
      <alignment horizontal="left" vertical="center" wrapText="1"/>
    </xf>
    <xf numFmtId="3" fontId="51" fillId="0" borderId="0" xfId="46" applyNumberFormat="1" applyFont="1" applyFill="1" applyAlignment="1">
      <alignment vertical="center" wrapText="1"/>
    </xf>
    <xf numFmtId="0" fontId="15" fillId="0" borderId="0" xfId="46" applyFont="1" applyFill="1" applyAlignment="1">
      <alignment vertical="center" wrapText="1"/>
    </xf>
    <xf numFmtId="0" fontId="52" fillId="0" borderId="0" xfId="46" applyFont="1" applyFill="1" applyAlignment="1">
      <alignment horizontal="center" vertical="center" wrapText="1"/>
    </xf>
    <xf numFmtId="0" fontId="30" fillId="0" borderId="0" xfId="46" applyFont="1" applyFill="1" applyAlignment="1">
      <alignment vertical="center" wrapText="1"/>
    </xf>
    <xf numFmtId="165" fontId="56" fillId="0" borderId="0" xfId="46" applyNumberFormat="1" applyFont="1" applyFill="1" applyAlignment="1">
      <alignment horizontal="center" vertical="center" wrapText="1"/>
    </xf>
    <xf numFmtId="0" fontId="56" fillId="0" borderId="0" xfId="46" applyFont="1" applyFill="1" applyAlignment="1">
      <alignment vertical="center" wrapText="1"/>
    </xf>
    <xf numFmtId="0" fontId="15" fillId="0" borderId="0" xfId="52" applyFont="1" applyFill="1" applyAlignment="1">
      <alignment vertical="center" wrapText="1"/>
    </xf>
    <xf numFmtId="0" fontId="52" fillId="0" borderId="0" xfId="52" applyFont="1" applyFill="1" applyAlignment="1">
      <alignment horizontal="center" vertical="center" wrapText="1"/>
    </xf>
    <xf numFmtId="169" fontId="15" fillId="0" borderId="0" xfId="52" applyNumberFormat="1" applyFont="1" applyFill="1" applyAlignment="1">
      <alignment vertical="center" wrapText="1"/>
    </xf>
    <xf numFmtId="10" fontId="15" fillId="0" borderId="0" xfId="57" applyNumberFormat="1" applyFont="1" applyFill="1" applyAlignment="1">
      <alignment vertical="center" wrapText="1"/>
    </xf>
    <xf numFmtId="165" fontId="15" fillId="0" borderId="0" xfId="57" applyNumberFormat="1" applyFont="1" applyFill="1" applyAlignment="1">
      <alignment vertical="center" wrapText="1"/>
    </xf>
    <xf numFmtId="165" fontId="15" fillId="0" borderId="0" xfId="46" applyNumberFormat="1" applyFont="1" applyFill="1" applyAlignment="1">
      <alignment vertical="center" wrapText="1"/>
    </xf>
    <xf numFmtId="165" fontId="15" fillId="0" borderId="0" xfId="57" applyNumberFormat="1" applyFont="1" applyFill="1" applyAlignment="1">
      <alignment horizontal="right" vertical="center" wrapText="1" indent="1"/>
    </xf>
    <xf numFmtId="3" fontId="51" fillId="0" borderId="0" xfId="52" applyNumberFormat="1" applyFont="1" applyFill="1" applyAlignment="1">
      <alignment vertical="center" wrapText="1"/>
    </xf>
    <xf numFmtId="0" fontId="56" fillId="0" borderId="0" xfId="52" applyFont="1" applyFill="1" applyAlignment="1">
      <alignment vertical="center" wrapText="1"/>
    </xf>
    <xf numFmtId="3" fontId="15" fillId="0" borderId="0" xfId="46" applyNumberFormat="1" applyFont="1" applyFill="1" applyAlignment="1">
      <alignment horizontal="center" vertical="center" wrapText="1"/>
    </xf>
    <xf numFmtId="3" fontId="15" fillId="0" borderId="0" xfId="27" applyNumberFormat="1" applyFont="1" applyFill="1" applyAlignment="1">
      <alignment vertical="center" wrapText="1"/>
    </xf>
    <xf numFmtId="3" fontId="51" fillId="0" borderId="0" xfId="46" applyNumberFormat="1" applyFont="1" applyFill="1" applyAlignment="1">
      <alignment horizontal="center" vertical="center" wrapText="1"/>
    </xf>
    <xf numFmtId="0" fontId="52" fillId="0" borderId="0" xfId="46" applyFont="1" applyFill="1" applyBorder="1" applyAlignment="1">
      <alignment horizontal="center" vertical="center" wrapText="1"/>
    </xf>
    <xf numFmtId="0" fontId="30" fillId="0" borderId="0" xfId="46" applyFill="1"/>
    <xf numFmtId="3" fontId="30" fillId="0" borderId="0" xfId="46" applyNumberFormat="1" applyFill="1"/>
    <xf numFmtId="0" fontId="75" fillId="0" borderId="0" xfId="0" applyFont="1"/>
    <xf numFmtId="0" fontId="68" fillId="0" borderId="0" xfId="45" applyFill="1"/>
    <xf numFmtId="0" fontId="76" fillId="0" borderId="0" xfId="45" applyFont="1" applyFill="1"/>
    <xf numFmtId="0" fontId="68" fillId="0" borderId="0" xfId="45" applyFill="1" applyAlignment="1">
      <alignment horizontal="left"/>
    </xf>
    <xf numFmtId="3" fontId="70" fillId="0" borderId="0" xfId="0" applyNumberFormat="1" applyFont="1" applyFill="1" applyBorder="1" applyAlignment="1">
      <alignment vertical="top" wrapText="1"/>
    </xf>
    <xf numFmtId="3" fontId="70" fillId="0" borderId="0" xfId="48" applyNumberFormat="1" applyFont="1" applyBorder="1" applyAlignment="1">
      <alignment vertical="center" wrapText="1"/>
    </xf>
    <xf numFmtId="3" fontId="70" fillId="0" borderId="0" xfId="48" applyNumberFormat="1" applyFont="1" applyFill="1" applyBorder="1" applyAlignment="1">
      <alignment vertical="center" wrapText="1"/>
    </xf>
    <xf numFmtId="3" fontId="70" fillId="0" borderId="0" xfId="46" applyNumberFormat="1" applyFont="1" applyFill="1" applyBorder="1" applyAlignment="1">
      <alignment vertical="center" wrapText="1"/>
    </xf>
    <xf numFmtId="3" fontId="70" fillId="0" borderId="0" xfId="51" applyNumberFormat="1" applyFont="1" applyFill="1" applyBorder="1" applyAlignment="1">
      <alignment vertical="center" wrapText="1"/>
    </xf>
    <xf numFmtId="0" fontId="75" fillId="0" borderId="0" xfId="0" applyFont="1" applyBorder="1" applyAlignment="1"/>
    <xf numFmtId="3" fontId="70" fillId="0" borderId="0" xfId="48" applyNumberFormat="1" applyFont="1" applyBorder="1" applyAlignment="1">
      <alignment vertical="top" wrapText="1"/>
    </xf>
    <xf numFmtId="0" fontId="75" fillId="0" borderId="0" xfId="0" applyFont="1" applyAlignment="1">
      <alignment vertical="top"/>
    </xf>
    <xf numFmtId="0" fontId="75" fillId="0" borderId="0" xfId="0" applyFont="1" applyAlignment="1">
      <alignment vertical="top" wrapText="1"/>
    </xf>
    <xf numFmtId="3" fontId="70" fillId="0" borderId="0" xfId="48" applyNumberFormat="1" applyFont="1" applyFill="1" applyBorder="1" applyAlignment="1">
      <alignment vertical="top" wrapText="1"/>
    </xf>
    <xf numFmtId="0" fontId="70" fillId="0" borderId="0" xfId="48" applyFont="1" applyBorder="1" applyAlignment="1">
      <alignment vertical="top" wrapText="1"/>
    </xf>
    <xf numFmtId="0" fontId="70" fillId="0" borderId="0" xfId="48" applyFont="1" applyBorder="1" applyAlignment="1">
      <alignment vertical="center" wrapText="1"/>
    </xf>
    <xf numFmtId="0" fontId="75" fillId="0" borderId="0" xfId="0" applyFont="1" applyBorder="1" applyAlignment="1">
      <alignment vertical="top"/>
    </xf>
    <xf numFmtId="3" fontId="70" fillId="0" borderId="0" xfId="50" applyNumberFormat="1" applyFont="1" applyBorder="1" applyAlignment="1">
      <alignment vertical="top" wrapText="1"/>
    </xf>
    <xf numFmtId="3" fontId="70" fillId="0" borderId="0" xfId="52" applyNumberFormat="1" applyFont="1" applyFill="1" applyBorder="1" applyAlignment="1">
      <alignment vertical="center" wrapText="1"/>
    </xf>
    <xf numFmtId="0" fontId="75" fillId="0" borderId="0" xfId="0" applyFont="1" applyFill="1"/>
    <xf numFmtId="166" fontId="0" fillId="0" borderId="0" xfId="27" applyNumberFormat="1" applyFont="1" applyFill="1" applyBorder="1"/>
    <xf numFmtId="0" fontId="77" fillId="0" borderId="21" xfId="0" applyFont="1" applyFill="1" applyBorder="1" applyAlignment="1">
      <alignment horizontal="center" vertical="center" wrapText="1"/>
    </xf>
    <xf numFmtId="0" fontId="77" fillId="0" borderId="22" xfId="0" applyFont="1" applyFill="1" applyBorder="1" applyAlignment="1">
      <alignment horizontal="center" vertical="center" wrapText="1"/>
    </xf>
    <xf numFmtId="0" fontId="77" fillId="0" borderId="22" xfId="40" applyFont="1" applyFill="1" applyBorder="1" applyAlignment="1">
      <alignment horizontal="center"/>
    </xf>
    <xf numFmtId="165" fontId="4" fillId="0" borderId="31" xfId="48" applyNumberFormat="1" applyFont="1" applyFill="1" applyBorder="1" applyAlignment="1">
      <alignment horizontal="right" vertical="center" wrapText="1" indent="2"/>
    </xf>
    <xf numFmtId="3" fontId="10" fillId="0" borderId="30" xfId="48" applyNumberFormat="1" applyFont="1" applyFill="1" applyBorder="1" applyAlignment="1">
      <alignment horizontal="right" vertical="center" wrapText="1" indent="3"/>
    </xf>
    <xf numFmtId="165" fontId="12" fillId="0" borderId="30" xfId="48" applyNumberFormat="1" applyFont="1" applyFill="1" applyBorder="1" applyAlignment="1">
      <alignment horizontal="right" vertical="center" wrapText="1" indent="2"/>
    </xf>
    <xf numFmtId="3" fontId="6" fillId="0" borderId="30" xfId="48" applyNumberFormat="1" applyFont="1" applyFill="1" applyBorder="1" applyAlignment="1">
      <alignment horizontal="right" vertical="center" wrapText="1" indent="2"/>
    </xf>
    <xf numFmtId="3" fontId="9" fillId="0" borderId="30" xfId="48" applyNumberFormat="1" applyFont="1" applyFill="1" applyBorder="1" applyAlignment="1">
      <alignment horizontal="right" vertical="center" wrapText="1" indent="2"/>
    </xf>
    <xf numFmtId="165" fontId="4" fillId="0" borderId="28" xfId="48" applyNumberFormat="1" applyFont="1" applyFill="1" applyBorder="1" applyAlignment="1">
      <alignment horizontal="right" vertical="center" wrapText="1" indent="2"/>
    </xf>
    <xf numFmtId="3" fontId="10" fillId="0" borderId="34" xfId="48" applyNumberFormat="1" applyFont="1" applyFill="1" applyBorder="1" applyAlignment="1">
      <alignment horizontal="right" vertical="center" wrapText="1" indent="3"/>
    </xf>
    <xf numFmtId="165" fontId="12" fillId="0" borderId="34" xfId="48" applyNumberFormat="1" applyFont="1" applyFill="1" applyBorder="1" applyAlignment="1">
      <alignment horizontal="right" vertical="center" wrapText="1" indent="2"/>
    </xf>
    <xf numFmtId="3" fontId="6" fillId="0" borderId="34" xfId="48" applyNumberFormat="1" applyFont="1" applyFill="1" applyBorder="1" applyAlignment="1">
      <alignment horizontal="right" vertical="center" wrapText="1" indent="2"/>
    </xf>
    <xf numFmtId="3" fontId="9" fillId="0" borderId="34" xfId="48" applyNumberFormat="1" applyFont="1" applyFill="1" applyBorder="1" applyAlignment="1">
      <alignment horizontal="right" vertical="center" wrapText="1" indent="2"/>
    </xf>
    <xf numFmtId="165" fontId="4" fillId="0" borderId="33" xfId="48" applyNumberFormat="1" applyFont="1" applyFill="1" applyBorder="1" applyAlignment="1">
      <alignment horizontal="right" vertical="center" wrapText="1" indent="2"/>
    </xf>
    <xf numFmtId="3" fontId="9" fillId="0" borderId="24" xfId="48" applyNumberFormat="1" applyFont="1" applyFill="1" applyBorder="1" applyAlignment="1">
      <alignment vertical="center" wrapText="1"/>
    </xf>
    <xf numFmtId="3" fontId="9" fillId="0" borderId="21" xfId="48" applyNumberFormat="1" applyFont="1" applyFill="1" applyBorder="1" applyAlignment="1">
      <alignment horizontal="right" vertical="center" wrapText="1" indent="3"/>
    </xf>
    <xf numFmtId="165" fontId="13" fillId="0" borderId="21" xfId="48" applyNumberFormat="1" applyFont="1" applyFill="1" applyBorder="1" applyAlignment="1">
      <alignment horizontal="right" vertical="center" wrapText="1" indent="2"/>
    </xf>
    <xf numFmtId="3" fontId="2" fillId="0" borderId="21" xfId="48" applyNumberFormat="1" applyFont="1" applyFill="1" applyBorder="1" applyAlignment="1">
      <alignment horizontal="right" vertical="center" wrapText="1" indent="2"/>
    </xf>
    <xf numFmtId="3" fontId="9" fillId="0" borderId="21" xfId="48" applyNumberFormat="1" applyFont="1" applyFill="1" applyBorder="1" applyAlignment="1">
      <alignment horizontal="right" vertical="center" wrapText="1" indent="2"/>
    </xf>
    <xf numFmtId="165" fontId="3" fillId="0" borderId="22" xfId="48" applyNumberFormat="1" applyFont="1" applyFill="1" applyBorder="1" applyAlignment="1">
      <alignment horizontal="right" vertical="center" wrapText="1" indent="2"/>
    </xf>
    <xf numFmtId="0" fontId="10" fillId="0" borderId="20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2" fillId="0" borderId="35" xfId="0" applyFont="1" applyFill="1" applyBorder="1" applyAlignment="1">
      <alignment horizontal="center"/>
    </xf>
    <xf numFmtId="3" fontId="73" fillId="0" borderId="55" xfId="0" applyNumberFormat="1" applyFont="1" applyFill="1" applyBorder="1" applyAlignment="1">
      <alignment horizontal="left" vertical="center" wrapText="1"/>
    </xf>
    <xf numFmtId="3" fontId="73" fillId="0" borderId="56" xfId="0" applyNumberFormat="1" applyFont="1" applyFill="1" applyBorder="1" applyAlignment="1">
      <alignment horizontal="left" vertical="center" wrapText="1"/>
    </xf>
    <xf numFmtId="0" fontId="77" fillId="0" borderId="74" xfId="0" applyFont="1" applyFill="1" applyBorder="1"/>
    <xf numFmtId="3" fontId="73" fillId="0" borderId="24" xfId="0" applyNumberFormat="1" applyFont="1" applyFill="1" applyBorder="1" applyAlignment="1">
      <alignment horizontal="left" vertical="center" wrapText="1"/>
    </xf>
    <xf numFmtId="3" fontId="10" fillId="0" borderId="29" xfId="48" applyNumberFormat="1" applyFont="1" applyFill="1" applyBorder="1" applyAlignment="1">
      <alignment horizontal="right" indent="3"/>
    </xf>
    <xf numFmtId="3" fontId="10" fillId="0" borderId="12" xfId="48" applyNumberFormat="1" applyFont="1" applyFill="1" applyBorder="1" applyAlignment="1">
      <alignment horizontal="right" indent="3"/>
    </xf>
    <xf numFmtId="3" fontId="10" fillId="0" borderId="19" xfId="48" applyNumberFormat="1" applyFont="1" applyFill="1" applyBorder="1" applyAlignment="1">
      <alignment horizontal="right" indent="3"/>
    </xf>
    <xf numFmtId="3" fontId="9" fillId="0" borderId="20" xfId="48" applyNumberFormat="1" applyFont="1" applyFill="1" applyBorder="1" applyAlignment="1">
      <alignment vertical="center" wrapText="1"/>
    </xf>
    <xf numFmtId="3" fontId="9" fillId="0" borderId="15" xfId="48" applyNumberFormat="1" applyFont="1" applyFill="1" applyBorder="1" applyAlignment="1">
      <alignment vertical="center" wrapText="1"/>
    </xf>
    <xf numFmtId="3" fontId="9" fillId="0" borderId="16" xfId="48" applyNumberFormat="1" applyFont="1" applyFill="1" applyBorder="1" applyAlignment="1">
      <alignment vertical="center" wrapText="1"/>
    </xf>
    <xf numFmtId="3" fontId="70" fillId="0" borderId="12" xfId="48" applyNumberFormat="1" applyFont="1" applyFill="1" applyBorder="1" applyAlignment="1">
      <alignment horizontal="right" vertical="center" wrapText="1" indent="2"/>
    </xf>
    <xf numFmtId="3" fontId="70" fillId="0" borderId="29" xfId="48" applyNumberFormat="1" applyFont="1" applyFill="1" applyBorder="1" applyAlignment="1">
      <alignment horizontal="right" vertical="center" wrapText="1" indent="2"/>
    </xf>
    <xf numFmtId="165" fontId="72" fillId="0" borderId="30" xfId="48" applyNumberFormat="1" applyFont="1" applyFill="1" applyBorder="1" applyAlignment="1">
      <alignment horizontal="right" vertical="center" wrapText="1" indent="2"/>
    </xf>
    <xf numFmtId="3" fontId="70" fillId="0" borderId="30" xfId="48" applyNumberFormat="1" applyFont="1" applyFill="1" applyBorder="1" applyAlignment="1">
      <alignment horizontal="right" vertical="center" wrapText="1" indent="2"/>
    </xf>
    <xf numFmtId="0" fontId="73" fillId="0" borderId="25" xfId="48" applyFont="1" applyFill="1" applyBorder="1" applyAlignment="1">
      <alignment horizontal="center" vertical="center" wrapText="1"/>
    </xf>
    <xf numFmtId="0" fontId="73" fillId="0" borderId="23" xfId="48" applyFont="1" applyFill="1" applyBorder="1" applyAlignment="1">
      <alignment horizontal="center" vertical="center" wrapText="1"/>
    </xf>
    <xf numFmtId="0" fontId="73" fillId="0" borderId="21" xfId="48" applyFont="1" applyFill="1" applyBorder="1" applyAlignment="1">
      <alignment horizontal="center" vertical="center" wrapText="1"/>
    </xf>
    <xf numFmtId="165" fontId="72" fillId="0" borderId="28" xfId="48" applyNumberFormat="1" applyFont="1" applyFill="1" applyBorder="1" applyAlignment="1">
      <alignment horizontal="right" vertical="center" wrapText="1" indent="2"/>
    </xf>
    <xf numFmtId="165" fontId="72" fillId="0" borderId="31" xfId="48" applyNumberFormat="1" applyFont="1" applyFill="1" applyBorder="1" applyAlignment="1">
      <alignment horizontal="right" vertical="center" wrapText="1" indent="2"/>
    </xf>
    <xf numFmtId="3" fontId="70" fillId="0" borderId="19" xfId="48" applyNumberFormat="1" applyFont="1" applyFill="1" applyBorder="1" applyAlignment="1">
      <alignment horizontal="right" vertical="center" wrapText="1" indent="2"/>
    </xf>
    <xf numFmtId="165" fontId="72" fillId="0" borderId="34" xfId="48" applyNumberFormat="1" applyFont="1" applyFill="1" applyBorder="1" applyAlignment="1">
      <alignment horizontal="right" vertical="center" wrapText="1" indent="2"/>
    </xf>
    <xf numFmtId="3" fontId="70" fillId="0" borderId="34" xfId="48" applyNumberFormat="1" applyFont="1" applyFill="1" applyBorder="1" applyAlignment="1">
      <alignment horizontal="right" vertical="center" wrapText="1" indent="2"/>
    </xf>
    <xf numFmtId="165" fontId="72" fillId="0" borderId="33" xfId="48" applyNumberFormat="1" applyFont="1" applyFill="1" applyBorder="1" applyAlignment="1">
      <alignment horizontal="right" vertical="center" wrapText="1" indent="2"/>
    </xf>
    <xf numFmtId="1" fontId="73" fillId="0" borderId="25" xfId="48" applyNumberFormat="1" applyFont="1" applyFill="1" applyBorder="1" applyAlignment="1">
      <alignment horizontal="left" vertical="center" wrapText="1" indent="1"/>
    </xf>
    <xf numFmtId="3" fontId="73" fillId="0" borderId="23" xfId="48" applyNumberFormat="1" applyFont="1" applyFill="1" applyBorder="1" applyAlignment="1">
      <alignment horizontal="right" vertical="center" wrapText="1" indent="2"/>
    </xf>
    <xf numFmtId="9" fontId="73" fillId="0" borderId="21" xfId="48" applyNumberFormat="1" applyFont="1" applyFill="1" applyBorder="1" applyAlignment="1">
      <alignment horizontal="right" vertical="center" wrapText="1" indent="2"/>
    </xf>
    <xf numFmtId="3" fontId="73" fillId="0" borderId="21" xfId="48" applyNumberFormat="1" applyFont="1" applyFill="1" applyBorder="1" applyAlignment="1">
      <alignment horizontal="right" vertical="center" wrapText="1" indent="2"/>
    </xf>
    <xf numFmtId="9" fontId="73" fillId="0" borderId="22" xfId="48" applyNumberFormat="1" applyFont="1" applyFill="1" applyBorder="1" applyAlignment="1">
      <alignment horizontal="right" vertical="center" wrapText="1" indent="2"/>
    </xf>
    <xf numFmtId="0" fontId="70" fillId="0" borderId="20" xfId="48" applyFont="1" applyFill="1" applyBorder="1" applyAlignment="1">
      <alignment vertical="top" wrapText="1"/>
    </xf>
    <xf numFmtId="0" fontId="70" fillId="0" borderId="15" xfId="48" applyFont="1" applyFill="1" applyBorder="1" applyAlignment="1">
      <alignment vertical="top" wrapText="1"/>
    </xf>
    <xf numFmtId="0" fontId="70" fillId="0" borderId="18" xfId="48" applyFont="1" applyFill="1" applyBorder="1" applyAlignment="1">
      <alignment vertical="top" wrapText="1"/>
    </xf>
    <xf numFmtId="0" fontId="70" fillId="0" borderId="15" xfId="48" applyFont="1" applyFill="1" applyBorder="1" applyAlignment="1">
      <alignment horizontal="left" vertical="top" wrapText="1"/>
    </xf>
    <xf numFmtId="3" fontId="10" fillId="0" borderId="30" xfId="42" applyNumberFormat="1" applyFont="1" applyFill="1" applyBorder="1" applyAlignment="1">
      <alignment horizontal="center"/>
    </xf>
    <xf numFmtId="3" fontId="10" fillId="0" borderId="32" xfId="42" applyNumberFormat="1" applyFont="1" applyFill="1" applyBorder="1" applyAlignment="1">
      <alignment horizontal="center"/>
    </xf>
    <xf numFmtId="3" fontId="10" fillId="0" borderId="34" xfId="42" applyNumberFormat="1" applyFont="1" applyFill="1" applyBorder="1" applyAlignment="1">
      <alignment horizontal="center"/>
    </xf>
    <xf numFmtId="3" fontId="10" fillId="0" borderId="29" xfId="42" applyNumberFormat="1" applyFont="1" applyFill="1" applyBorder="1" applyAlignment="1">
      <alignment horizontal="center"/>
    </xf>
    <xf numFmtId="3" fontId="10" fillId="0" borderId="12" xfId="42" applyNumberFormat="1" applyFont="1" applyFill="1" applyBorder="1" applyAlignment="1">
      <alignment horizontal="center"/>
    </xf>
    <xf numFmtId="3" fontId="10" fillId="0" borderId="19" xfId="42" applyNumberFormat="1" applyFont="1" applyFill="1" applyBorder="1" applyAlignment="1">
      <alignment horizontal="center"/>
    </xf>
    <xf numFmtId="3" fontId="9" fillId="0" borderId="23" xfId="48" applyNumberFormat="1" applyFont="1" applyFill="1" applyBorder="1" applyAlignment="1">
      <alignment horizontal="center"/>
    </xf>
    <xf numFmtId="0" fontId="73" fillId="0" borderId="58" xfId="48" applyNumberFormat="1" applyFont="1" applyFill="1" applyBorder="1" applyAlignment="1">
      <alignment vertical="top" wrapText="1"/>
    </xf>
    <xf numFmtId="165" fontId="4" fillId="0" borderId="31" xfId="48" applyNumberFormat="1" applyFont="1" applyFill="1" applyBorder="1" applyAlignment="1">
      <alignment horizontal="center" vertical="center" wrapText="1"/>
    </xf>
    <xf numFmtId="3" fontId="6" fillId="0" borderId="30" xfId="48" applyNumberFormat="1" applyFont="1" applyFill="1" applyBorder="1" applyAlignment="1">
      <alignment horizontal="right" vertical="center" wrapText="1" indent="4"/>
    </xf>
    <xf numFmtId="165" fontId="4" fillId="0" borderId="28" xfId="48" applyNumberFormat="1" applyFont="1" applyFill="1" applyBorder="1" applyAlignment="1">
      <alignment horizontal="center" vertical="center" wrapText="1"/>
    </xf>
    <xf numFmtId="0" fontId="9" fillId="0" borderId="21" xfId="48" applyFont="1" applyFill="1" applyBorder="1" applyAlignment="1">
      <alignment horizontal="center" vertical="center" wrapText="1"/>
    </xf>
    <xf numFmtId="0" fontId="9" fillId="0" borderId="22" xfId="48" applyFont="1" applyFill="1" applyBorder="1" applyAlignment="1">
      <alignment horizontal="center" vertical="center" wrapText="1"/>
    </xf>
    <xf numFmtId="0" fontId="9" fillId="0" borderId="23" xfId="48" applyFont="1" applyFill="1" applyBorder="1" applyAlignment="1">
      <alignment horizontal="center" vertical="center" wrapText="1"/>
    </xf>
    <xf numFmtId="3" fontId="6" fillId="0" borderId="29" xfId="48" applyNumberFormat="1" applyFont="1" applyFill="1" applyBorder="1" applyAlignment="1">
      <alignment horizontal="right" vertical="center" wrapText="1" indent="4"/>
    </xf>
    <xf numFmtId="3" fontId="6" fillId="0" borderId="12" xfId="48" applyNumberFormat="1" applyFont="1" applyFill="1" applyBorder="1" applyAlignment="1">
      <alignment horizontal="right" vertical="center" wrapText="1" indent="4"/>
    </xf>
    <xf numFmtId="0" fontId="9" fillId="0" borderId="25" xfId="48" applyFont="1" applyFill="1" applyBorder="1" applyAlignment="1">
      <alignment horizontal="center" vertical="center" wrapText="1"/>
    </xf>
    <xf numFmtId="2" fontId="10" fillId="0" borderId="20" xfId="48" applyNumberFormat="1" applyFont="1" applyFill="1" applyBorder="1" applyAlignment="1">
      <alignment vertical="center" wrapText="1"/>
    </xf>
    <xf numFmtId="2" fontId="10" fillId="0" borderId="15" xfId="48" applyNumberFormat="1" applyFont="1" applyFill="1" applyBorder="1" applyAlignment="1">
      <alignment vertical="center" wrapText="1"/>
    </xf>
    <xf numFmtId="2" fontId="10" fillId="0" borderId="18" xfId="48" applyNumberFormat="1" applyFont="1" applyFill="1" applyBorder="1" applyAlignment="1">
      <alignment vertical="center" wrapText="1"/>
    </xf>
    <xf numFmtId="3" fontId="6" fillId="0" borderId="19" xfId="48" applyNumberFormat="1" applyFont="1" applyFill="1" applyBorder="1" applyAlignment="1">
      <alignment horizontal="right" vertical="center" wrapText="1" indent="4"/>
    </xf>
    <xf numFmtId="3" fontId="6" fillId="0" borderId="34" xfId="48" applyNumberFormat="1" applyFont="1" applyFill="1" applyBorder="1" applyAlignment="1">
      <alignment horizontal="right" vertical="center" wrapText="1" indent="4"/>
    </xf>
    <xf numFmtId="165" fontId="4" fillId="0" borderId="33" xfId="48" applyNumberFormat="1" applyFont="1" applyFill="1" applyBorder="1" applyAlignment="1">
      <alignment horizontal="center" vertical="center" wrapText="1"/>
    </xf>
    <xf numFmtId="0" fontId="9" fillId="0" borderId="25" xfId="48" applyFont="1" applyFill="1" applyBorder="1" applyAlignment="1">
      <alignment horizontal="left" vertical="center" wrapText="1" indent="1"/>
    </xf>
    <xf numFmtId="3" fontId="2" fillId="0" borderId="23" xfId="48" applyNumberFormat="1" applyFont="1" applyFill="1" applyBorder="1" applyAlignment="1">
      <alignment horizontal="right" vertical="center" wrapText="1" indent="4"/>
    </xf>
    <xf numFmtId="3" fontId="2" fillId="0" borderId="21" xfId="48" applyNumberFormat="1" applyFont="1" applyFill="1" applyBorder="1" applyAlignment="1">
      <alignment horizontal="right" vertical="center" wrapText="1" indent="4"/>
    </xf>
    <xf numFmtId="165" fontId="3" fillId="0" borderId="22" xfId="48" applyNumberFormat="1" applyFont="1" applyFill="1" applyBorder="1" applyAlignment="1">
      <alignment horizontal="center" vertical="center" wrapText="1"/>
    </xf>
    <xf numFmtId="3" fontId="10" fillId="0" borderId="29" xfId="48" applyNumberFormat="1" applyFont="1" applyFill="1" applyBorder="1" applyAlignment="1">
      <alignment horizontal="right" indent="5"/>
    </xf>
    <xf numFmtId="3" fontId="10" fillId="0" borderId="12" xfId="48" applyNumberFormat="1" applyFont="1" applyFill="1" applyBorder="1" applyAlignment="1">
      <alignment horizontal="right" indent="5"/>
    </xf>
    <xf numFmtId="3" fontId="10" fillId="0" borderId="19" xfId="48" applyNumberFormat="1" applyFont="1" applyFill="1" applyBorder="1" applyAlignment="1">
      <alignment horizontal="right" indent="5"/>
    </xf>
    <xf numFmtId="3" fontId="9" fillId="0" borderId="23" xfId="48" applyNumberFormat="1" applyFont="1" applyFill="1" applyBorder="1" applyAlignment="1">
      <alignment horizontal="right" vertical="center" wrapText="1" indent="5"/>
    </xf>
    <xf numFmtId="3" fontId="9" fillId="0" borderId="25" xfId="48" applyNumberFormat="1" applyFont="1" applyFill="1" applyBorder="1" applyAlignment="1">
      <alignment horizontal="left" vertical="center" wrapText="1" indent="1"/>
    </xf>
    <xf numFmtId="3" fontId="9" fillId="0" borderId="20" xfId="48" applyNumberFormat="1" applyFont="1" applyFill="1" applyBorder="1" applyAlignment="1"/>
    <xf numFmtId="0" fontId="9" fillId="0" borderId="15" xfId="48" applyNumberFormat="1" applyFont="1" applyFill="1" applyBorder="1" applyAlignment="1">
      <alignment vertical="top" wrapText="1"/>
    </xf>
    <xf numFmtId="3" fontId="9" fillId="0" borderId="15" xfId="48" applyNumberFormat="1" applyFont="1" applyFill="1" applyBorder="1" applyAlignment="1"/>
    <xf numFmtId="3" fontId="9" fillId="0" borderId="18" xfId="48" applyNumberFormat="1" applyFont="1" applyFill="1" applyBorder="1" applyAlignment="1">
      <alignment vertical="center" wrapText="1"/>
    </xf>
    <xf numFmtId="3" fontId="73" fillId="0" borderId="23" xfId="48" applyNumberFormat="1" applyFont="1" applyFill="1" applyBorder="1" applyAlignment="1">
      <alignment horizontal="center" vertical="center" wrapText="1"/>
    </xf>
    <xf numFmtId="3" fontId="73" fillId="0" borderId="25" xfId="48" applyNumberFormat="1" applyFont="1" applyFill="1" applyBorder="1" applyAlignment="1">
      <alignment horizontal="center" vertical="center" wrapText="1"/>
    </xf>
    <xf numFmtId="3" fontId="70" fillId="0" borderId="29" xfId="48" applyNumberFormat="1" applyFont="1" applyFill="1" applyBorder="1" applyAlignment="1">
      <alignment horizontal="right" indent="6"/>
    </xf>
    <xf numFmtId="3" fontId="70" fillId="0" borderId="12" xfId="48" applyNumberFormat="1" applyFont="1" applyFill="1" applyBorder="1" applyAlignment="1">
      <alignment horizontal="right" indent="6"/>
    </xf>
    <xf numFmtId="3" fontId="70" fillId="0" borderId="19" xfId="48" applyNumberFormat="1" applyFont="1" applyFill="1" applyBorder="1" applyAlignment="1">
      <alignment horizontal="right" indent="6"/>
    </xf>
    <xf numFmtId="3" fontId="73" fillId="0" borderId="23" xfId="48" applyNumberFormat="1" applyFont="1" applyFill="1" applyBorder="1" applyAlignment="1">
      <alignment horizontal="right" vertical="center" wrapText="1" indent="6"/>
    </xf>
    <xf numFmtId="3" fontId="73" fillId="0" borderId="25" xfId="48" applyNumberFormat="1" applyFont="1" applyFill="1" applyBorder="1" applyAlignment="1">
      <alignment horizontal="left" vertical="center" wrapText="1" indent="1"/>
    </xf>
    <xf numFmtId="3" fontId="73" fillId="0" borderId="20" xfId="48" applyNumberFormat="1" applyFont="1" applyFill="1" applyBorder="1" applyAlignment="1"/>
    <xf numFmtId="0" fontId="73" fillId="0" borderId="15" xfId="48" applyNumberFormat="1" applyFont="1" applyFill="1" applyBorder="1" applyAlignment="1">
      <alignment vertical="top" wrapText="1"/>
    </xf>
    <xf numFmtId="3" fontId="73" fillId="0" borderId="15" xfId="48" applyNumberFormat="1" applyFont="1" applyFill="1" applyBorder="1" applyAlignment="1">
      <alignment vertical="center" wrapText="1"/>
    </xf>
    <xf numFmtId="3" fontId="73" fillId="0" borderId="15" xfId="48" applyNumberFormat="1" applyFont="1" applyFill="1" applyBorder="1" applyAlignment="1"/>
    <xf numFmtId="3" fontId="73" fillId="0" borderId="18" xfId="48" applyNumberFormat="1" applyFont="1" applyFill="1" applyBorder="1" applyAlignment="1">
      <alignment vertical="center" wrapText="1"/>
    </xf>
    <xf numFmtId="168" fontId="70" fillId="0" borderId="32" xfId="0" applyNumberFormat="1" applyFont="1" applyFill="1" applyBorder="1" applyAlignment="1">
      <alignment vertical="center" wrapText="1"/>
    </xf>
    <xf numFmtId="4" fontId="70" fillId="0" borderId="32" xfId="0" applyNumberFormat="1" applyFont="1" applyBorder="1" applyAlignment="1">
      <alignment vertical="center" wrapText="1"/>
    </xf>
    <xf numFmtId="168" fontId="70" fillId="0" borderId="32" xfId="0" applyNumberFormat="1" applyFont="1" applyBorder="1" applyAlignment="1">
      <alignment vertical="center" wrapText="1"/>
    </xf>
    <xf numFmtId="168" fontId="71" fillId="0" borderId="21" xfId="0" applyNumberFormat="1" applyFont="1" applyFill="1" applyBorder="1" applyAlignment="1">
      <alignment vertical="center" wrapText="1"/>
    </xf>
    <xf numFmtId="4" fontId="71" fillId="0" borderId="21" xfId="0" applyNumberFormat="1" applyFont="1" applyBorder="1" applyAlignment="1">
      <alignment vertical="center" wrapText="1"/>
    </xf>
    <xf numFmtId="168" fontId="71" fillId="0" borderId="21" xfId="0" applyNumberFormat="1" applyFont="1" applyBorder="1" applyAlignment="1">
      <alignment vertical="center" wrapText="1"/>
    </xf>
    <xf numFmtId="4" fontId="71" fillId="0" borderId="22" xfId="0" applyNumberFormat="1" applyFont="1" applyBorder="1" applyAlignment="1">
      <alignment vertical="center" wrapText="1"/>
    </xf>
    <xf numFmtId="4" fontId="70" fillId="0" borderId="31" xfId="0" applyNumberFormat="1" applyFont="1" applyBorder="1" applyAlignment="1">
      <alignment vertical="center" wrapText="1"/>
    </xf>
    <xf numFmtId="3" fontId="73" fillId="0" borderId="17" xfId="0" applyNumberFormat="1" applyFont="1" applyFill="1" applyBorder="1" applyAlignment="1">
      <alignment horizontal="left" vertical="center" wrapText="1"/>
    </xf>
    <xf numFmtId="168" fontId="72" fillId="0" borderId="76" xfId="0" applyNumberFormat="1" applyFont="1" applyFill="1" applyBorder="1" applyAlignment="1">
      <alignment horizontal="center" vertical="center" wrapText="1"/>
    </xf>
    <xf numFmtId="4" fontId="72" fillId="0" borderId="76" xfId="0" applyNumberFormat="1" applyFont="1" applyBorder="1" applyAlignment="1">
      <alignment horizontal="center" vertical="center" wrapText="1"/>
    </xf>
    <xf numFmtId="3" fontId="73" fillId="0" borderId="36" xfId="0" applyNumberFormat="1" applyFont="1" applyFill="1" applyBorder="1" applyAlignment="1">
      <alignment horizontal="left" vertical="center" wrapText="1"/>
    </xf>
    <xf numFmtId="168" fontId="70" fillId="0" borderId="67" xfId="0" applyNumberFormat="1" applyFont="1" applyFill="1" applyBorder="1" applyAlignment="1">
      <alignment vertical="center" wrapText="1"/>
    </xf>
    <xf numFmtId="4" fontId="70" fillId="0" borderId="67" xfId="0" applyNumberFormat="1" applyFont="1" applyBorder="1" applyAlignment="1">
      <alignment vertical="center" wrapText="1"/>
    </xf>
    <xf numFmtId="168" fontId="70" fillId="0" borderId="67" xfId="0" applyNumberFormat="1" applyFont="1" applyBorder="1" applyAlignment="1">
      <alignment vertical="center" wrapText="1"/>
    </xf>
    <xf numFmtId="4" fontId="70" fillId="0" borderId="37" xfId="0" applyNumberFormat="1" applyFont="1" applyBorder="1" applyAlignment="1">
      <alignment vertical="center" wrapText="1"/>
    </xf>
    <xf numFmtId="3" fontId="73" fillId="0" borderId="40" xfId="0" applyNumberFormat="1" applyFont="1" applyFill="1" applyBorder="1" applyAlignment="1">
      <alignment horizontal="left" vertical="center" wrapText="1"/>
    </xf>
    <xf numFmtId="168" fontId="70" fillId="0" borderId="68" xfId="0" applyNumberFormat="1" applyFont="1" applyFill="1" applyBorder="1" applyAlignment="1">
      <alignment vertical="center" wrapText="1"/>
    </xf>
    <xf numFmtId="4" fontId="70" fillId="0" borderId="68" xfId="0" applyNumberFormat="1" applyFont="1" applyBorder="1" applyAlignment="1">
      <alignment vertical="center" wrapText="1"/>
    </xf>
    <xf numFmtId="168" fontId="70" fillId="0" borderId="68" xfId="0" applyNumberFormat="1" applyFont="1" applyBorder="1" applyAlignment="1">
      <alignment vertical="center" wrapText="1"/>
    </xf>
    <xf numFmtId="4" fontId="70" fillId="0" borderId="41" xfId="0" applyNumberFormat="1" applyFont="1" applyBorder="1" applyAlignment="1">
      <alignment vertical="center" wrapText="1"/>
    </xf>
    <xf numFmtId="3" fontId="72" fillId="0" borderId="58" xfId="0" applyNumberFormat="1" applyFont="1" applyFill="1" applyBorder="1" applyAlignment="1">
      <alignment horizontal="center" vertical="center" wrapText="1"/>
    </xf>
    <xf numFmtId="4" fontId="72" fillId="0" borderId="77" xfId="0" applyNumberFormat="1" applyFont="1" applyBorder="1" applyAlignment="1">
      <alignment horizontal="center" vertical="center" wrapText="1"/>
    </xf>
    <xf numFmtId="3" fontId="10" fillId="0" borderId="67" xfId="46" applyNumberFormat="1" applyFont="1" applyFill="1" applyBorder="1" applyAlignment="1">
      <alignment vertical="center" wrapText="1"/>
    </xf>
    <xf numFmtId="3" fontId="10" fillId="0" borderId="37" xfId="46" applyNumberFormat="1" applyFont="1" applyFill="1" applyBorder="1" applyAlignment="1">
      <alignment horizontal="right" vertical="center" wrapText="1" indent="1"/>
    </xf>
    <xf numFmtId="3" fontId="10" fillId="0" borderId="32" xfId="46" applyNumberFormat="1" applyFont="1" applyFill="1" applyBorder="1" applyAlignment="1">
      <alignment vertical="center" wrapText="1"/>
    </xf>
    <xf numFmtId="3" fontId="10" fillId="0" borderId="31" xfId="46" applyNumberFormat="1" applyFont="1" applyFill="1" applyBorder="1" applyAlignment="1">
      <alignment horizontal="right" vertical="center" wrapText="1" indent="1"/>
    </xf>
    <xf numFmtId="3" fontId="10" fillId="0" borderId="78" xfId="46" applyNumberFormat="1" applyFont="1" applyFill="1" applyBorder="1" applyAlignment="1">
      <alignment vertical="center"/>
    </xf>
    <xf numFmtId="3" fontId="10" fillId="0" borderId="79" xfId="46" applyNumberFormat="1" applyFont="1" applyFill="1" applyBorder="1" applyAlignment="1">
      <alignment horizontal="right" vertical="center" indent="1"/>
    </xf>
    <xf numFmtId="3" fontId="10" fillId="0" borderId="47" xfId="46" applyNumberFormat="1" applyFont="1" applyFill="1" applyBorder="1" applyAlignment="1">
      <alignment vertical="center" wrapText="1"/>
    </xf>
    <xf numFmtId="3" fontId="10" fillId="0" borderId="80" xfId="46" applyNumberFormat="1" applyFont="1" applyFill="1" applyBorder="1" applyAlignment="1">
      <alignment vertical="center" wrapText="1"/>
    </xf>
    <xf numFmtId="3" fontId="10" fillId="0" borderId="81" xfId="46" applyNumberFormat="1" applyFont="1" applyFill="1" applyBorder="1" applyAlignment="1">
      <alignment horizontal="right" vertical="center" indent="1"/>
    </xf>
    <xf numFmtId="3" fontId="10" fillId="0" borderId="31" xfId="46" applyNumberFormat="1" applyFont="1" applyFill="1" applyBorder="1" applyAlignment="1">
      <alignment vertical="center" wrapText="1"/>
    </xf>
    <xf numFmtId="3" fontId="10" fillId="0" borderId="82" xfId="46" applyNumberFormat="1" applyFont="1" applyFill="1" applyBorder="1" applyAlignment="1">
      <alignment vertical="center" wrapText="1"/>
    </xf>
    <xf numFmtId="3" fontId="10" fillId="0" borderId="83" xfId="46" applyNumberFormat="1" applyFont="1" applyFill="1" applyBorder="1" applyAlignment="1">
      <alignment horizontal="left" vertical="center" wrapText="1" indent="8"/>
    </xf>
    <xf numFmtId="3" fontId="9" fillId="0" borderId="84" xfId="46" applyNumberFormat="1" applyFont="1" applyFill="1" applyBorder="1" applyAlignment="1">
      <alignment horizontal="right" vertical="center" wrapText="1" indent="1"/>
    </xf>
    <xf numFmtId="3" fontId="9" fillId="0" borderId="63" xfId="46" applyNumberFormat="1" applyFont="1" applyFill="1" applyBorder="1" applyAlignment="1">
      <alignment vertical="center"/>
    </xf>
    <xf numFmtId="3" fontId="10" fillId="0" borderId="85" xfId="46" applyNumberFormat="1" applyFont="1" applyFill="1" applyBorder="1" applyAlignment="1">
      <alignment vertical="center" wrapText="1"/>
    </xf>
    <xf numFmtId="3" fontId="9" fillId="0" borderId="25" xfId="46" applyNumberFormat="1" applyFont="1" applyFill="1" applyBorder="1" applyAlignment="1">
      <alignment horizontal="right" vertical="center" wrapText="1" indent="1"/>
    </xf>
    <xf numFmtId="3" fontId="10" fillId="0" borderId="65" xfId="46" applyNumberFormat="1" applyFont="1" applyFill="1" applyBorder="1" applyAlignment="1">
      <alignment vertical="center" wrapText="1"/>
    </xf>
    <xf numFmtId="3" fontId="10" fillId="0" borderId="44" xfId="46" applyNumberFormat="1" applyFont="1" applyFill="1" applyBorder="1" applyAlignment="1">
      <alignment vertical="center" wrapText="1"/>
    </xf>
    <xf numFmtId="3" fontId="10" fillId="0" borderId="57" xfId="46" applyNumberFormat="1" applyFont="1" applyFill="1" applyBorder="1" applyAlignment="1">
      <alignment vertical="center"/>
    </xf>
    <xf numFmtId="3" fontId="10" fillId="0" borderId="82" xfId="46" applyNumberFormat="1" applyFont="1" applyFill="1" applyBorder="1" applyAlignment="1">
      <alignment vertical="center"/>
    </xf>
    <xf numFmtId="3" fontId="10" fillId="0" borderId="48" xfId="46" applyNumberFormat="1" applyFont="1" applyFill="1" applyBorder="1" applyAlignment="1">
      <alignment vertical="center" wrapText="1"/>
    </xf>
    <xf numFmtId="3" fontId="10" fillId="0" borderId="78" xfId="46" applyNumberFormat="1" applyFont="1" applyFill="1" applyBorder="1" applyAlignment="1">
      <alignment vertical="center" wrapText="1"/>
    </xf>
    <xf numFmtId="3" fontId="10" fillId="0" borderId="33" xfId="46" applyNumberFormat="1" applyFont="1" applyFill="1" applyBorder="1" applyAlignment="1">
      <alignment horizontal="right" vertical="center" wrapText="1" indent="1"/>
    </xf>
    <xf numFmtId="3" fontId="10" fillId="0" borderId="86" xfId="46" applyNumberFormat="1" applyFont="1" applyFill="1" applyBorder="1" applyAlignment="1">
      <alignment vertical="center" wrapText="1"/>
    </xf>
    <xf numFmtId="3" fontId="10" fillId="0" borderId="87" xfId="46" applyNumberFormat="1" applyFont="1" applyFill="1" applyBorder="1" applyAlignment="1">
      <alignment vertical="center"/>
    </xf>
    <xf numFmtId="3" fontId="9" fillId="0" borderId="63" xfId="46" applyNumberFormat="1" applyFont="1" applyFill="1" applyBorder="1" applyAlignment="1">
      <alignment vertical="center" wrapText="1"/>
    </xf>
    <xf numFmtId="3" fontId="9" fillId="0" borderId="85" xfId="46" applyNumberFormat="1" applyFont="1" applyFill="1" applyBorder="1" applyAlignment="1">
      <alignment vertical="center" wrapText="1"/>
    </xf>
    <xf numFmtId="3" fontId="10" fillId="0" borderId="88" xfId="46" applyNumberFormat="1" applyFont="1" applyFill="1" applyBorder="1" applyAlignment="1">
      <alignment vertical="center" wrapText="1"/>
    </xf>
    <xf numFmtId="3" fontId="9" fillId="0" borderId="89" xfId="46" applyNumberFormat="1" applyFont="1" applyFill="1" applyBorder="1" applyAlignment="1">
      <alignment horizontal="right" vertical="center" wrapText="1" indent="1"/>
    </xf>
    <xf numFmtId="3" fontId="70" fillId="0" borderId="67" xfId="46" applyNumberFormat="1" applyFont="1" applyFill="1" applyBorder="1" applyAlignment="1">
      <alignment horizontal="right" vertical="center" wrapText="1" indent="1"/>
    </xf>
    <xf numFmtId="165" fontId="72" fillId="0" borderId="37" xfId="57" applyNumberFormat="1" applyFont="1" applyFill="1" applyBorder="1" applyAlignment="1">
      <alignment horizontal="right" vertical="center" wrapText="1"/>
    </xf>
    <xf numFmtId="165" fontId="72" fillId="0" borderId="31" xfId="57" applyNumberFormat="1" applyFont="1" applyFill="1" applyBorder="1" applyAlignment="1">
      <alignment horizontal="right" vertical="center" wrapText="1"/>
    </xf>
    <xf numFmtId="165" fontId="72" fillId="0" borderId="33" xfId="57" applyNumberFormat="1" applyFont="1" applyFill="1" applyBorder="1" applyAlignment="1">
      <alignment horizontal="right" vertical="center" wrapText="1"/>
    </xf>
    <xf numFmtId="0" fontId="73" fillId="0" borderId="21" xfId="46" applyFont="1" applyFill="1" applyBorder="1" applyAlignment="1">
      <alignment horizontal="center" vertical="center" wrapText="1"/>
    </xf>
    <xf numFmtId="165" fontId="71" fillId="0" borderId="21" xfId="46" applyNumberFormat="1" applyFont="1" applyFill="1" applyBorder="1" applyAlignment="1">
      <alignment horizontal="center" vertical="center" wrapText="1"/>
    </xf>
    <xf numFmtId="9" fontId="71" fillId="0" borderId="21" xfId="57" applyFont="1" applyFill="1" applyBorder="1" applyAlignment="1">
      <alignment horizontal="center" vertical="center" wrapText="1"/>
    </xf>
    <xf numFmtId="9" fontId="71" fillId="0" borderId="22" xfId="46" applyNumberFormat="1" applyFont="1" applyFill="1" applyBorder="1" applyAlignment="1">
      <alignment horizontal="center" vertical="center" wrapText="1"/>
    </xf>
    <xf numFmtId="169" fontId="70" fillId="0" borderId="30" xfId="52" applyNumberFormat="1" applyFont="1" applyFill="1" applyBorder="1" applyAlignment="1">
      <alignment horizontal="right" vertical="center" wrapText="1" indent="1"/>
    </xf>
    <xf numFmtId="165" fontId="72" fillId="0" borderId="67" xfId="46" applyNumberFormat="1" applyFont="1" applyFill="1" applyBorder="1" applyAlignment="1">
      <alignment horizontal="center" vertical="center" wrapText="1"/>
    </xf>
    <xf numFmtId="169" fontId="70" fillId="0" borderId="32" xfId="52" applyNumberFormat="1" applyFont="1" applyFill="1" applyBorder="1" applyAlignment="1">
      <alignment horizontal="right" vertical="center" wrapText="1" indent="1"/>
    </xf>
    <xf numFmtId="165" fontId="72" fillId="0" borderId="32" xfId="46" applyNumberFormat="1" applyFont="1" applyFill="1" applyBorder="1" applyAlignment="1">
      <alignment horizontal="center" vertical="center" wrapText="1"/>
    </xf>
    <xf numFmtId="169" fontId="70" fillId="0" borderId="34" xfId="52" applyNumberFormat="1" applyFont="1" applyFill="1" applyBorder="1" applyAlignment="1">
      <alignment horizontal="right" vertical="center" wrapText="1" indent="1"/>
    </xf>
    <xf numFmtId="165" fontId="72" fillId="0" borderId="34" xfId="46" applyNumberFormat="1" applyFont="1" applyFill="1" applyBorder="1" applyAlignment="1">
      <alignment horizontal="center" vertical="center" wrapText="1"/>
    </xf>
    <xf numFmtId="4" fontId="77" fillId="0" borderId="90" xfId="52" applyNumberFormat="1" applyFont="1" applyFill="1" applyBorder="1" applyAlignment="1">
      <alignment horizontal="right" vertical="center" wrapText="1" indent="1"/>
    </xf>
    <xf numFmtId="9" fontId="74" fillId="0" borderId="90" xfId="57" applyFont="1" applyFill="1" applyBorder="1" applyAlignment="1">
      <alignment horizontal="center" vertical="center" wrapText="1"/>
    </xf>
    <xf numFmtId="9" fontId="71" fillId="0" borderId="90" xfId="57" applyFont="1" applyFill="1" applyBorder="1" applyAlignment="1">
      <alignment horizontal="center" vertical="center" wrapText="1"/>
    </xf>
    <xf numFmtId="9" fontId="73" fillId="0" borderId="91" xfId="57" applyFont="1" applyFill="1" applyBorder="1" applyAlignment="1">
      <alignment horizontal="center" vertical="center" wrapText="1"/>
    </xf>
    <xf numFmtId="0" fontId="72" fillId="0" borderId="32" xfId="46" applyFont="1" applyFill="1" applyBorder="1" applyAlignment="1">
      <alignment vertical="center" wrapText="1"/>
    </xf>
    <xf numFmtId="0" fontId="70" fillId="0" borderId="31" xfId="46" applyFont="1" applyFill="1" applyBorder="1" applyAlignment="1">
      <alignment vertical="center" wrapText="1"/>
    </xf>
    <xf numFmtId="9" fontId="72" fillId="0" borderId="32" xfId="57" applyFont="1" applyFill="1" applyBorder="1" applyAlignment="1">
      <alignment horizontal="center" vertical="center" wrapText="1"/>
    </xf>
    <xf numFmtId="169" fontId="73" fillId="0" borderId="68" xfId="52" applyNumberFormat="1" applyFont="1" applyFill="1" applyBorder="1" applyAlignment="1">
      <alignment horizontal="right" vertical="center" wrapText="1" indent="1"/>
    </xf>
    <xf numFmtId="165" fontId="72" fillId="0" borderId="68" xfId="46" applyNumberFormat="1" applyFont="1" applyFill="1" applyBorder="1" applyAlignment="1">
      <alignment horizontal="center" vertical="center" wrapText="1"/>
    </xf>
    <xf numFmtId="0" fontId="72" fillId="0" borderId="68" xfId="46" applyFont="1" applyFill="1" applyBorder="1" applyAlignment="1">
      <alignment vertical="center" wrapText="1"/>
    </xf>
    <xf numFmtId="0" fontId="70" fillId="0" borderId="41" xfId="46" applyFont="1" applyFill="1" applyBorder="1" applyAlignment="1">
      <alignment vertical="center" wrapText="1"/>
    </xf>
    <xf numFmtId="0" fontId="70" fillId="0" borderId="0" xfId="52" applyFont="1" applyFill="1" applyAlignment="1">
      <alignment vertical="center" wrapText="1"/>
    </xf>
    <xf numFmtId="0" fontId="73" fillId="0" borderId="69" xfId="52" applyFont="1" applyFill="1" applyBorder="1" applyAlignment="1">
      <alignment horizontal="center" vertical="center" wrapText="1"/>
    </xf>
    <xf numFmtId="0" fontId="73" fillId="0" borderId="92" xfId="52" applyFont="1" applyFill="1" applyBorder="1" applyAlignment="1">
      <alignment horizontal="center" vertical="center" wrapText="1"/>
    </xf>
    <xf numFmtId="0" fontId="73" fillId="0" borderId="52" xfId="52" applyFont="1" applyFill="1" applyBorder="1" applyAlignment="1">
      <alignment horizontal="center" vertical="center" wrapText="1"/>
    </xf>
    <xf numFmtId="0" fontId="73" fillId="0" borderId="0" xfId="52" applyFont="1" applyFill="1" applyAlignment="1">
      <alignment horizontal="center" vertical="center" wrapText="1"/>
    </xf>
    <xf numFmtId="169" fontId="70" fillId="0" borderId="31" xfId="52" applyNumberFormat="1" applyFont="1" applyFill="1" applyBorder="1" applyAlignment="1">
      <alignment horizontal="right" vertical="center" wrapText="1" indent="1"/>
    </xf>
    <xf numFmtId="169" fontId="77" fillId="0" borderId="24" xfId="52" applyNumberFormat="1" applyFont="1" applyFill="1" applyBorder="1" applyAlignment="1">
      <alignment horizontal="right" vertical="center" wrapText="1" indent="1"/>
    </xf>
    <xf numFmtId="169" fontId="77" fillId="0" borderId="21" xfId="52" applyNumberFormat="1" applyFont="1" applyFill="1" applyBorder="1" applyAlignment="1">
      <alignment horizontal="right" vertical="center" wrapText="1" indent="1"/>
    </xf>
    <xf numFmtId="9" fontId="70" fillId="0" borderId="0" xfId="57" applyFont="1" applyFill="1" applyAlignment="1">
      <alignment vertical="center" wrapText="1"/>
    </xf>
    <xf numFmtId="169" fontId="70" fillId="0" borderId="0" xfId="52" applyNumberFormat="1" applyFont="1" applyFill="1" applyAlignment="1">
      <alignment vertical="center" wrapText="1"/>
    </xf>
    <xf numFmtId="10" fontId="70" fillId="0" borderId="0" xfId="57" applyNumberFormat="1" applyFont="1" applyFill="1" applyAlignment="1">
      <alignment vertical="center" wrapText="1"/>
    </xf>
    <xf numFmtId="165" fontId="70" fillId="0" borderId="0" xfId="57" applyNumberFormat="1" applyFont="1" applyFill="1" applyAlignment="1">
      <alignment vertical="center" wrapText="1"/>
    </xf>
    <xf numFmtId="0" fontId="77" fillId="0" borderId="25" xfId="52" applyFont="1" applyFill="1" applyBorder="1" applyAlignment="1">
      <alignment horizontal="left" vertical="center" wrapText="1"/>
    </xf>
    <xf numFmtId="169" fontId="70" fillId="0" borderId="29" xfId="52" applyNumberFormat="1" applyFont="1" applyFill="1" applyBorder="1" applyAlignment="1">
      <alignment horizontal="right" vertical="center" wrapText="1" indent="1"/>
    </xf>
    <xf numFmtId="169" fontId="70" fillId="0" borderId="12" xfId="52" applyNumberFormat="1" applyFont="1" applyFill="1" applyBorder="1" applyAlignment="1">
      <alignment horizontal="right" vertical="center" wrapText="1" indent="1"/>
    </xf>
    <xf numFmtId="169" fontId="70" fillId="0" borderId="19" xfId="52" applyNumberFormat="1" applyFont="1" applyFill="1" applyBorder="1" applyAlignment="1">
      <alignment horizontal="right" vertical="center" wrapText="1" indent="1"/>
    </xf>
    <xf numFmtId="0" fontId="70" fillId="0" borderId="35" xfId="52" applyFont="1" applyFill="1" applyBorder="1" applyAlignment="1">
      <alignment horizontal="left" vertical="center" wrapText="1"/>
    </xf>
    <xf numFmtId="0" fontId="70" fillId="0" borderId="15" xfId="52" applyFont="1" applyFill="1" applyBorder="1" applyAlignment="1">
      <alignment horizontal="left" vertical="center" wrapText="1"/>
    </xf>
    <xf numFmtId="0" fontId="70" fillId="0" borderId="16" xfId="52" applyFont="1" applyFill="1" applyBorder="1" applyAlignment="1">
      <alignment horizontal="left" vertical="center" wrapText="1"/>
    </xf>
    <xf numFmtId="0" fontId="71" fillId="0" borderId="21" xfId="46" applyFont="1" applyFill="1" applyBorder="1" applyAlignment="1">
      <alignment horizontal="center" vertical="center" wrapText="1"/>
    </xf>
    <xf numFmtId="165" fontId="71" fillId="0" borderId="22" xfId="57" applyNumberFormat="1" applyFont="1" applyFill="1" applyBorder="1" applyAlignment="1">
      <alignment horizontal="right" vertical="center" wrapText="1" indent="1"/>
    </xf>
    <xf numFmtId="165" fontId="72" fillId="0" borderId="30" xfId="57" applyNumberFormat="1" applyFont="1" applyFill="1" applyBorder="1" applyAlignment="1">
      <alignment horizontal="right" vertical="center" wrapText="1" indent="1"/>
    </xf>
    <xf numFmtId="165" fontId="72" fillId="0" borderId="28" xfId="57" applyNumberFormat="1" applyFont="1" applyFill="1" applyBorder="1" applyAlignment="1">
      <alignment horizontal="right" vertical="center" wrapText="1" indent="1"/>
    </xf>
    <xf numFmtId="165" fontId="72" fillId="0" borderId="32" xfId="57" applyNumberFormat="1" applyFont="1" applyFill="1" applyBorder="1" applyAlignment="1">
      <alignment horizontal="right" vertical="center" wrapText="1" indent="1"/>
    </xf>
    <xf numFmtId="165" fontId="72" fillId="0" borderId="31" xfId="57" applyNumberFormat="1" applyFont="1" applyFill="1" applyBorder="1" applyAlignment="1">
      <alignment horizontal="right" vertical="center" wrapText="1" indent="1"/>
    </xf>
    <xf numFmtId="165" fontId="72" fillId="0" borderId="34" xfId="57" applyNumberFormat="1" applyFont="1" applyFill="1" applyBorder="1" applyAlignment="1">
      <alignment horizontal="right" vertical="center" wrapText="1" indent="1"/>
    </xf>
    <xf numFmtId="165" fontId="72" fillId="0" borderId="33" xfId="57" applyNumberFormat="1" applyFont="1" applyFill="1" applyBorder="1" applyAlignment="1">
      <alignment horizontal="right" vertical="center" wrapText="1" indent="1"/>
    </xf>
    <xf numFmtId="165" fontId="70" fillId="0" borderId="31" xfId="57" applyNumberFormat="1" applyFont="1" applyFill="1" applyBorder="1" applyAlignment="1">
      <alignment horizontal="right" vertical="center" wrapText="1" indent="1"/>
    </xf>
    <xf numFmtId="165" fontId="70" fillId="0" borderId="32" xfId="46" applyNumberFormat="1" applyFont="1" applyFill="1" applyBorder="1" applyAlignment="1">
      <alignment vertical="center" wrapText="1"/>
    </xf>
    <xf numFmtId="0" fontId="70" fillId="0" borderId="32" xfId="46" applyFont="1" applyFill="1" applyBorder="1" applyAlignment="1">
      <alignment vertical="center" wrapText="1"/>
    </xf>
    <xf numFmtId="4" fontId="77" fillId="0" borderId="93" xfId="52" applyNumberFormat="1" applyFont="1" applyFill="1" applyBorder="1" applyAlignment="1">
      <alignment horizontal="right" vertical="center" wrapText="1" indent="1"/>
    </xf>
    <xf numFmtId="169" fontId="73" fillId="0" borderId="13" xfId="52" applyNumberFormat="1" applyFont="1" applyFill="1" applyBorder="1" applyAlignment="1">
      <alignment horizontal="right" vertical="center" wrapText="1" indent="1"/>
    </xf>
    <xf numFmtId="0" fontId="70" fillId="0" borderId="35" xfId="52" applyFont="1" applyFill="1" applyBorder="1" applyAlignment="1">
      <alignment horizontal="left" vertical="center" wrapText="1" indent="1"/>
    </xf>
    <xf numFmtId="0" fontId="70" fillId="0" borderId="15" xfId="52" applyFont="1" applyFill="1" applyBorder="1" applyAlignment="1">
      <alignment horizontal="left" vertical="center" wrapText="1" indent="1"/>
    </xf>
    <xf numFmtId="0" fontId="70" fillId="0" borderId="18" xfId="52" applyFont="1" applyFill="1" applyBorder="1" applyAlignment="1">
      <alignment horizontal="left" vertical="center" wrapText="1" indent="1"/>
    </xf>
    <xf numFmtId="0" fontId="77" fillId="0" borderId="14" xfId="52" applyFont="1" applyFill="1" applyBorder="1" applyAlignment="1">
      <alignment horizontal="left" vertical="center" wrapText="1" indent="1"/>
    </xf>
    <xf numFmtId="0" fontId="70" fillId="0" borderId="15" xfId="46" applyFont="1" applyFill="1" applyBorder="1" applyAlignment="1">
      <alignment horizontal="left" vertical="center" wrapText="1" indent="1"/>
    </xf>
    <xf numFmtId="0" fontId="73" fillId="0" borderId="16" xfId="46" applyFont="1" applyFill="1" applyBorder="1" applyAlignment="1">
      <alignment horizontal="left" vertical="center" wrapText="1" indent="1"/>
    </xf>
    <xf numFmtId="3" fontId="70" fillId="0" borderId="12" xfId="46" applyNumberFormat="1" applyFont="1" applyFill="1" applyBorder="1" applyAlignment="1">
      <alignment horizontal="right" vertical="center" wrapText="1" indent="1"/>
    </xf>
    <xf numFmtId="0" fontId="9" fillId="0" borderId="69" xfId="52" applyFont="1" applyFill="1" applyBorder="1" applyAlignment="1">
      <alignment horizontal="center" vertical="center" wrapText="1"/>
    </xf>
    <xf numFmtId="0" fontId="9" fillId="0" borderId="92" xfId="52" applyFont="1" applyFill="1" applyBorder="1" applyAlignment="1">
      <alignment horizontal="center" vertical="center" wrapText="1"/>
    </xf>
    <xf numFmtId="0" fontId="9" fillId="0" borderId="52" xfId="52" applyFont="1" applyFill="1" applyBorder="1" applyAlignment="1">
      <alignment horizontal="center" vertical="center" wrapText="1"/>
    </xf>
    <xf numFmtId="0" fontId="9" fillId="0" borderId="51" xfId="52" applyFont="1" applyFill="1" applyBorder="1" applyAlignment="1">
      <alignment horizontal="center" vertical="center" wrapText="1"/>
    </xf>
    <xf numFmtId="0" fontId="9" fillId="0" borderId="73" xfId="52" applyFont="1" applyFill="1" applyBorder="1" applyAlignment="1">
      <alignment horizontal="center" vertical="center" wrapText="1"/>
    </xf>
    <xf numFmtId="169" fontId="10" fillId="0" borderId="29" xfId="52" applyNumberFormat="1" applyFont="1" applyFill="1" applyBorder="1" applyAlignment="1">
      <alignment horizontal="right" vertical="center" wrapText="1" indent="1"/>
    </xf>
    <xf numFmtId="169" fontId="10" fillId="0" borderId="30" xfId="52" applyNumberFormat="1" applyFont="1" applyFill="1" applyBorder="1" applyAlignment="1">
      <alignment horizontal="right" vertical="center" wrapText="1" indent="1"/>
    </xf>
    <xf numFmtId="169" fontId="10" fillId="0" borderId="67" xfId="52" applyNumberFormat="1" applyFont="1" applyFill="1" applyBorder="1" applyAlignment="1">
      <alignment horizontal="right" vertical="center" wrapText="1" indent="1"/>
    </xf>
    <xf numFmtId="169" fontId="10" fillId="0" borderId="94" xfId="52" applyNumberFormat="1" applyFont="1" applyFill="1" applyBorder="1" applyAlignment="1">
      <alignment horizontal="right" vertical="center" wrapText="1" indent="1"/>
    </xf>
    <xf numFmtId="169" fontId="10" fillId="0" borderId="12" xfId="52" applyNumberFormat="1" applyFont="1" applyFill="1" applyBorder="1" applyAlignment="1">
      <alignment horizontal="right" vertical="center" wrapText="1" indent="1"/>
    </xf>
    <xf numFmtId="169" fontId="10" fillId="0" borderId="32" xfId="52" applyNumberFormat="1" applyFont="1" applyFill="1" applyBorder="1" applyAlignment="1">
      <alignment horizontal="right" vertical="center" wrapText="1" indent="1"/>
    </xf>
    <xf numFmtId="169" fontId="10" fillId="0" borderId="44" xfId="52" applyNumberFormat="1" applyFont="1" applyFill="1" applyBorder="1" applyAlignment="1">
      <alignment horizontal="right" vertical="center" wrapText="1" indent="1"/>
    </xf>
    <xf numFmtId="169" fontId="10" fillId="0" borderId="17" xfId="52" applyNumberFormat="1" applyFont="1" applyFill="1" applyBorder="1" applyAlignment="1">
      <alignment horizontal="right" vertical="center" wrapText="1" indent="1"/>
    </xf>
    <xf numFmtId="169" fontId="10" fillId="0" borderId="31" xfId="52" applyNumberFormat="1" applyFont="1" applyFill="1" applyBorder="1" applyAlignment="1">
      <alignment horizontal="right" vertical="center" wrapText="1" indent="1"/>
    </xf>
    <xf numFmtId="169" fontId="9" fillId="0" borderId="13" xfId="52" applyNumberFormat="1" applyFont="1" applyFill="1" applyBorder="1" applyAlignment="1">
      <alignment horizontal="right" vertical="center" wrapText="1" indent="1"/>
    </xf>
    <xf numFmtId="169" fontId="10" fillId="0" borderId="65" xfId="52" applyNumberFormat="1" applyFont="1" applyFill="1" applyBorder="1" applyAlignment="1">
      <alignment horizontal="right" vertical="center" wrapText="1" indent="1"/>
    </xf>
    <xf numFmtId="169" fontId="10" fillId="0" borderId="36" xfId="52" applyNumberFormat="1" applyFont="1" applyFill="1" applyBorder="1" applyAlignment="1">
      <alignment horizontal="right" vertical="center" wrapText="1" indent="1"/>
    </xf>
    <xf numFmtId="169" fontId="10" fillId="0" borderId="37" xfId="52" applyNumberFormat="1" applyFont="1" applyFill="1" applyBorder="1" applyAlignment="1">
      <alignment horizontal="right" vertical="center" wrapText="1" indent="1"/>
    </xf>
    <xf numFmtId="169" fontId="2" fillId="0" borderId="68" xfId="52" applyNumberFormat="1" applyFont="1" applyFill="1" applyBorder="1" applyAlignment="1">
      <alignment horizontal="center" vertical="center" wrapText="1"/>
    </xf>
    <xf numFmtId="169" fontId="2" fillId="0" borderId="68" xfId="52" applyNumberFormat="1" applyFont="1" applyFill="1" applyBorder="1" applyAlignment="1">
      <alignment horizontal="right" vertical="center" wrapText="1" indent="1"/>
    </xf>
    <xf numFmtId="169" fontId="2" fillId="0" borderId="41" xfId="52" applyNumberFormat="1" applyFont="1" applyFill="1" applyBorder="1" applyAlignment="1">
      <alignment horizontal="right" vertical="center" wrapText="1" indent="1"/>
    </xf>
    <xf numFmtId="169" fontId="10" fillId="0" borderId="64" xfId="52" applyNumberFormat="1" applyFont="1" applyFill="1" applyBorder="1" applyAlignment="1">
      <alignment horizontal="right" vertical="center" wrapText="1" indent="1"/>
    </xf>
    <xf numFmtId="169" fontId="2" fillId="0" borderId="13" xfId="52" applyNumberFormat="1" applyFont="1" applyFill="1" applyBorder="1" applyAlignment="1">
      <alignment horizontal="center" vertical="center" wrapText="1"/>
    </xf>
    <xf numFmtId="0" fontId="10" fillId="0" borderId="20" xfId="52" applyFont="1" applyFill="1" applyBorder="1" applyAlignment="1">
      <alignment horizontal="left" vertical="center" wrapText="1" indent="1"/>
    </xf>
    <xf numFmtId="0" fontId="10" fillId="0" borderId="15" xfId="52" applyFont="1" applyFill="1" applyBorder="1" applyAlignment="1">
      <alignment horizontal="left" vertical="center" wrapText="1" indent="1"/>
    </xf>
    <xf numFmtId="0" fontId="2" fillId="0" borderId="16" xfId="52" applyFont="1" applyFill="1" applyBorder="1" applyAlignment="1">
      <alignment horizontal="left" vertical="center" wrapText="1" indent="1"/>
    </xf>
    <xf numFmtId="0" fontId="10" fillId="0" borderId="35" xfId="52" applyFont="1" applyFill="1" applyBorder="1" applyAlignment="1">
      <alignment horizontal="left" vertical="center" wrapText="1" indent="1"/>
    </xf>
    <xf numFmtId="169" fontId="9" fillId="0" borderId="95" xfId="52" applyNumberFormat="1" applyFont="1" applyFill="1" applyBorder="1" applyAlignment="1">
      <alignment horizontal="right" vertical="center" wrapText="1" indent="1"/>
    </xf>
    <xf numFmtId="169" fontId="2" fillId="0" borderId="66" xfId="52" applyNumberFormat="1" applyFont="1" applyFill="1" applyBorder="1" applyAlignment="1">
      <alignment horizontal="right" vertical="center" wrapText="1" indent="1"/>
    </xf>
    <xf numFmtId="169" fontId="9" fillId="0" borderId="40" xfId="52" applyNumberFormat="1" applyFont="1" applyFill="1" applyBorder="1" applyAlignment="1">
      <alignment horizontal="right" vertical="center" wrapText="1" indent="1"/>
    </xf>
    <xf numFmtId="169" fontId="9" fillId="0" borderId="42" xfId="52" applyNumberFormat="1" applyFont="1" applyFill="1" applyBorder="1" applyAlignment="1">
      <alignment horizontal="right" vertical="center" wrapText="1" indent="1"/>
    </xf>
    <xf numFmtId="169" fontId="2" fillId="0" borderId="40" xfId="52" applyNumberFormat="1" applyFont="1" applyFill="1" applyBorder="1" applyAlignment="1">
      <alignment horizontal="right" vertical="center" wrapText="1" indent="1"/>
    </xf>
    <xf numFmtId="3" fontId="9" fillId="0" borderId="24" xfId="46" applyNumberFormat="1" applyFont="1" applyFill="1" applyBorder="1" applyAlignment="1">
      <alignment horizontal="center" vertical="center" wrapText="1"/>
    </xf>
    <xf numFmtId="3" fontId="9" fillId="0" borderId="21" xfId="46" applyNumberFormat="1" applyFont="1" applyFill="1" applyBorder="1" applyAlignment="1">
      <alignment horizontal="center" vertical="center" wrapText="1"/>
    </xf>
    <xf numFmtId="3" fontId="9" fillId="0" borderId="72" xfId="46" applyNumberFormat="1" applyFont="1" applyFill="1" applyBorder="1" applyAlignment="1">
      <alignment horizontal="center" vertical="center" wrapText="1"/>
    </xf>
    <xf numFmtId="3" fontId="9" fillId="0" borderId="25" xfId="46" applyNumberFormat="1" applyFont="1" applyFill="1" applyBorder="1" applyAlignment="1">
      <alignment horizontal="center" vertical="center" wrapText="1"/>
    </xf>
    <xf numFmtId="3" fontId="9" fillId="0" borderId="23" xfId="46" applyNumberFormat="1" applyFont="1" applyFill="1" applyBorder="1" applyAlignment="1">
      <alignment horizontal="center" vertical="center" wrapText="1"/>
    </xf>
    <xf numFmtId="3" fontId="9" fillId="0" borderId="22" xfId="46" applyNumberFormat="1" applyFont="1" applyFill="1" applyBorder="1" applyAlignment="1">
      <alignment horizontal="center" vertical="center" wrapText="1"/>
    </xf>
    <xf numFmtId="169" fontId="10" fillId="0" borderId="30" xfId="46" applyNumberFormat="1" applyFont="1" applyFill="1" applyBorder="1" applyAlignment="1">
      <alignment horizontal="right" vertical="center" wrapText="1" indent="1"/>
    </xf>
    <xf numFmtId="169" fontId="10" fillId="0" borderId="94" xfId="46" applyNumberFormat="1" applyFont="1" applyFill="1" applyBorder="1" applyAlignment="1">
      <alignment horizontal="right" vertical="center" wrapText="1" indent="1"/>
    </xf>
    <xf numFmtId="169" fontId="10" fillId="0" borderId="20" xfId="46" applyNumberFormat="1" applyFont="1" applyFill="1" applyBorder="1" applyAlignment="1">
      <alignment horizontal="right" vertical="center" wrapText="1" indent="1"/>
    </xf>
    <xf numFmtId="169" fontId="10" fillId="0" borderId="29" xfId="46" applyNumberFormat="1" applyFont="1" applyFill="1" applyBorder="1" applyAlignment="1">
      <alignment horizontal="right" vertical="center" wrapText="1" indent="1"/>
    </xf>
    <xf numFmtId="169" fontId="10" fillId="0" borderId="28" xfId="46" applyNumberFormat="1" applyFont="1" applyFill="1" applyBorder="1" applyAlignment="1">
      <alignment horizontal="right" vertical="center" wrapText="1" indent="1"/>
    </xf>
    <xf numFmtId="3" fontId="9" fillId="0" borderId="24" xfId="46" applyNumberFormat="1" applyFont="1" applyFill="1" applyBorder="1" applyAlignment="1">
      <alignment horizontal="left" vertical="center" wrapText="1" indent="1"/>
    </xf>
    <xf numFmtId="3" fontId="9" fillId="0" borderId="24" xfId="46" applyNumberFormat="1" applyFont="1" applyFill="1" applyBorder="1" applyAlignment="1">
      <alignment horizontal="right" vertical="center" wrapText="1" indent="1"/>
    </xf>
    <xf numFmtId="169" fontId="9" fillId="0" borderId="21" xfId="27" applyNumberFormat="1" applyFont="1" applyFill="1" applyBorder="1" applyAlignment="1">
      <alignment horizontal="right" vertical="center" wrapText="1" indent="1"/>
    </xf>
    <xf numFmtId="169" fontId="9" fillId="0" borderId="72" xfId="27" applyNumberFormat="1" applyFont="1" applyFill="1" applyBorder="1" applyAlignment="1">
      <alignment horizontal="right" vertical="center" wrapText="1" indent="1"/>
    </xf>
    <xf numFmtId="169" fontId="9" fillId="0" borderId="25" xfId="27" applyNumberFormat="1" applyFont="1" applyFill="1" applyBorder="1" applyAlignment="1">
      <alignment horizontal="right" vertical="center" wrapText="1" indent="1"/>
    </xf>
    <xf numFmtId="3" fontId="9" fillId="0" borderId="35" xfId="46" applyNumberFormat="1" applyFont="1" applyFill="1" applyBorder="1" applyAlignment="1">
      <alignment horizontal="left" vertical="center" wrapText="1" indent="1"/>
    </xf>
    <xf numFmtId="3" fontId="9" fillId="0" borderId="20" xfId="46" applyNumberFormat="1" applyFont="1" applyFill="1" applyBorder="1" applyAlignment="1">
      <alignment horizontal="left" vertical="center" wrapText="1" indent="1"/>
    </xf>
    <xf numFmtId="3" fontId="9" fillId="0" borderId="50" xfId="46" applyNumberFormat="1" applyFont="1" applyFill="1" applyBorder="1" applyAlignment="1">
      <alignment horizontal="left" vertical="center" wrapText="1" indent="1"/>
    </xf>
    <xf numFmtId="3" fontId="9" fillId="0" borderId="64" xfId="52" applyNumberFormat="1" applyFont="1" applyFill="1" applyBorder="1" applyAlignment="1">
      <alignment horizontal="center" vertical="center" wrapText="1"/>
    </xf>
    <xf numFmtId="3" fontId="9" fillId="0" borderId="67" xfId="52" applyNumberFormat="1" applyFont="1" applyFill="1" applyBorder="1" applyAlignment="1">
      <alignment horizontal="center" vertical="center" wrapText="1"/>
    </xf>
    <xf numFmtId="3" fontId="9" fillId="0" borderId="37" xfId="52" applyNumberFormat="1" applyFont="1" applyFill="1" applyBorder="1" applyAlignment="1">
      <alignment horizontal="center" vertical="center" wrapText="1"/>
    </xf>
    <xf numFmtId="0" fontId="9" fillId="0" borderId="13" xfId="46" applyFont="1" applyFill="1" applyBorder="1" applyAlignment="1">
      <alignment horizontal="center" vertical="center" wrapText="1"/>
    </xf>
    <xf numFmtId="0" fontId="9" fillId="0" borderId="68" xfId="46" applyFont="1" applyFill="1" applyBorder="1" applyAlignment="1">
      <alignment horizontal="center" vertical="center" wrapText="1"/>
    </xf>
    <xf numFmtId="0" fontId="9" fillId="0" borderId="41" xfId="46" applyFont="1" applyFill="1" applyBorder="1" applyAlignment="1">
      <alignment horizontal="center" vertical="center" wrapText="1"/>
    </xf>
    <xf numFmtId="0" fontId="10" fillId="0" borderId="20" xfId="46" applyFont="1" applyFill="1" applyBorder="1" applyAlignment="1">
      <alignment horizontal="left" vertical="center" wrapText="1" indent="1"/>
    </xf>
    <xf numFmtId="3" fontId="9" fillId="0" borderId="30" xfId="46" applyNumberFormat="1" applyFont="1" applyFill="1" applyBorder="1" applyAlignment="1">
      <alignment horizontal="right" vertical="center" wrapText="1" indent="1"/>
    </xf>
    <xf numFmtId="3" fontId="9" fillId="0" borderId="28" xfId="46" applyNumberFormat="1" applyFont="1" applyFill="1" applyBorder="1" applyAlignment="1">
      <alignment horizontal="right" vertical="center" wrapText="1" indent="1"/>
    </xf>
    <xf numFmtId="0" fontId="10" fillId="0" borderId="15" xfId="46" applyFont="1" applyFill="1" applyBorder="1" applyAlignment="1">
      <alignment horizontal="left" vertical="center" wrapText="1" indent="1"/>
    </xf>
    <xf numFmtId="3" fontId="9" fillId="0" borderId="32" xfId="46" applyNumberFormat="1" applyFont="1" applyFill="1" applyBorder="1" applyAlignment="1">
      <alignment horizontal="right" vertical="center" wrapText="1" indent="1"/>
    </xf>
    <xf numFmtId="3" fontId="9" fillId="0" borderId="31" xfId="46" applyNumberFormat="1" applyFont="1" applyFill="1" applyBorder="1" applyAlignment="1">
      <alignment horizontal="right" vertical="center" wrapText="1" indent="1"/>
    </xf>
    <xf numFmtId="0" fontId="10" fillId="0" borderId="20" xfId="47" applyFont="1" applyFill="1" applyBorder="1" applyAlignment="1">
      <alignment horizontal="left" vertical="center" wrapText="1" indent="1"/>
    </xf>
    <xf numFmtId="0" fontId="10" fillId="0" borderId="18" xfId="46" applyFont="1" applyFill="1" applyBorder="1" applyAlignment="1">
      <alignment horizontal="left" vertical="center" wrapText="1" indent="1"/>
    </xf>
    <xf numFmtId="3" fontId="9" fillId="0" borderId="34" xfId="46" applyNumberFormat="1" applyFont="1" applyFill="1" applyBorder="1" applyAlignment="1">
      <alignment horizontal="right" vertical="center" wrapText="1" indent="1"/>
    </xf>
    <xf numFmtId="3" fontId="9" fillId="0" borderId="33" xfId="46" applyNumberFormat="1" applyFont="1" applyFill="1" applyBorder="1" applyAlignment="1">
      <alignment horizontal="right" vertical="center" wrapText="1" indent="1"/>
    </xf>
    <xf numFmtId="0" fontId="9" fillId="0" borderId="25" xfId="46" applyFont="1" applyFill="1" applyBorder="1" applyAlignment="1">
      <alignment horizontal="left" vertical="center" wrapText="1" indent="1"/>
    </xf>
    <xf numFmtId="3" fontId="9" fillId="0" borderId="23" xfId="46" applyNumberFormat="1" applyFont="1" applyFill="1" applyBorder="1" applyAlignment="1">
      <alignment horizontal="right" vertical="center" wrapText="1" indent="1"/>
    </xf>
    <xf numFmtId="3" fontId="9" fillId="0" borderId="21" xfId="46" applyNumberFormat="1" applyFont="1" applyFill="1" applyBorder="1" applyAlignment="1">
      <alignment horizontal="right" vertical="center" wrapText="1" indent="1"/>
    </xf>
    <xf numFmtId="3" fontId="9" fillId="0" borderId="22" xfId="46" applyNumberFormat="1" applyFont="1" applyFill="1" applyBorder="1" applyAlignment="1">
      <alignment horizontal="right" vertical="center" wrapText="1" indent="1"/>
    </xf>
    <xf numFmtId="3" fontId="73" fillId="0" borderId="64" xfId="52" applyNumberFormat="1" applyFont="1" applyFill="1" applyBorder="1" applyAlignment="1">
      <alignment horizontal="center" vertical="center" wrapText="1"/>
    </xf>
    <xf numFmtId="3" fontId="73" fillId="0" borderId="67" xfId="52" applyNumberFormat="1" applyFont="1" applyFill="1" applyBorder="1" applyAlignment="1">
      <alignment horizontal="center" vertical="center" wrapText="1"/>
    </xf>
    <xf numFmtId="3" fontId="73" fillId="0" borderId="37" xfId="52" applyNumberFormat="1" applyFont="1" applyFill="1" applyBorder="1" applyAlignment="1">
      <alignment horizontal="center" vertical="center" wrapText="1"/>
    </xf>
    <xf numFmtId="0" fontId="73" fillId="0" borderId="13" xfId="46" applyFont="1" applyFill="1" applyBorder="1" applyAlignment="1">
      <alignment horizontal="center" vertical="center" wrapText="1"/>
    </xf>
    <xf numFmtId="0" fontId="73" fillId="0" borderId="68" xfId="46" applyFont="1" applyFill="1" applyBorder="1" applyAlignment="1">
      <alignment horizontal="center" vertical="center" wrapText="1"/>
    </xf>
    <xf numFmtId="0" fontId="73" fillId="0" borderId="41" xfId="46" applyFont="1" applyFill="1" applyBorder="1" applyAlignment="1">
      <alignment horizontal="center" vertical="center" wrapText="1"/>
    </xf>
    <xf numFmtId="0" fontId="70" fillId="0" borderId="20" xfId="46" applyFont="1" applyFill="1" applyBorder="1" applyAlignment="1">
      <alignment horizontal="left" vertical="center" wrapText="1" indent="1"/>
    </xf>
    <xf numFmtId="3" fontId="73" fillId="0" borderId="30" xfId="46" applyNumberFormat="1" applyFont="1" applyFill="1" applyBorder="1" applyAlignment="1">
      <alignment horizontal="right" vertical="center" wrapText="1" indent="1"/>
    </xf>
    <xf numFmtId="3" fontId="73" fillId="0" borderId="28" xfId="46" applyNumberFormat="1" applyFont="1" applyFill="1" applyBorder="1" applyAlignment="1">
      <alignment horizontal="right" vertical="center" wrapText="1" indent="1"/>
    </xf>
    <xf numFmtId="3" fontId="73" fillId="0" borderId="32" xfId="46" applyNumberFormat="1" applyFont="1" applyFill="1" applyBorder="1" applyAlignment="1">
      <alignment horizontal="right" vertical="center" wrapText="1" indent="1"/>
    </xf>
    <xf numFmtId="3" fontId="73" fillId="0" borderId="31" xfId="46" applyNumberFormat="1" applyFont="1" applyFill="1" applyBorder="1" applyAlignment="1">
      <alignment horizontal="right" vertical="center" wrapText="1" indent="1"/>
    </xf>
    <xf numFmtId="0" fontId="70" fillId="0" borderId="18" xfId="46" applyFont="1" applyFill="1" applyBorder="1" applyAlignment="1">
      <alignment horizontal="left" vertical="center" wrapText="1" indent="1"/>
    </xf>
    <xf numFmtId="3" fontId="73" fillId="0" borderId="34" xfId="46" applyNumberFormat="1" applyFont="1" applyFill="1" applyBorder="1" applyAlignment="1">
      <alignment horizontal="right" vertical="center" wrapText="1" indent="1"/>
    </xf>
    <xf numFmtId="3" fontId="73" fillId="0" borderId="33" xfId="46" applyNumberFormat="1" applyFont="1" applyFill="1" applyBorder="1" applyAlignment="1">
      <alignment horizontal="right" vertical="center" wrapText="1" indent="1"/>
    </xf>
    <xf numFmtId="0" fontId="73" fillId="0" borderId="25" xfId="46" applyFont="1" applyFill="1" applyBorder="1" applyAlignment="1">
      <alignment horizontal="left" vertical="center" wrapText="1" indent="1"/>
    </xf>
    <xf numFmtId="3" fontId="73" fillId="0" borderId="23" xfId="46" applyNumberFormat="1" applyFont="1" applyFill="1" applyBorder="1" applyAlignment="1">
      <alignment horizontal="right" vertical="center" wrapText="1" indent="1"/>
    </xf>
    <xf numFmtId="3" fontId="73" fillId="0" borderId="22" xfId="46" applyNumberFormat="1" applyFont="1" applyFill="1" applyBorder="1" applyAlignment="1">
      <alignment horizontal="right" vertical="center" wrapText="1" indent="1"/>
    </xf>
    <xf numFmtId="0" fontId="73" fillId="0" borderId="25" xfId="47" applyFont="1" applyFill="1" applyBorder="1" applyAlignment="1">
      <alignment horizontal="center" vertical="center" wrapText="1"/>
    </xf>
    <xf numFmtId="0" fontId="73" fillId="0" borderId="22" xfId="47" applyFont="1" applyFill="1" applyBorder="1" applyAlignment="1">
      <alignment horizontal="center" vertical="center" wrapText="1"/>
    </xf>
    <xf numFmtId="3" fontId="70" fillId="0" borderId="30" xfId="47" applyNumberFormat="1" applyFont="1" applyFill="1" applyBorder="1" applyAlignment="1">
      <alignment horizontal="right" vertical="center" wrapText="1" indent="1"/>
    </xf>
    <xf numFmtId="3" fontId="70" fillId="0" borderId="32" xfId="47" applyNumberFormat="1" applyFont="1" applyFill="1" applyBorder="1" applyAlignment="1">
      <alignment horizontal="right" vertical="center" wrapText="1" indent="1"/>
    </xf>
    <xf numFmtId="3" fontId="70" fillId="0" borderId="34" xfId="47" applyNumberFormat="1" applyFont="1" applyFill="1" applyBorder="1" applyAlignment="1">
      <alignment horizontal="right" vertical="center" wrapText="1" indent="1"/>
    </xf>
    <xf numFmtId="3" fontId="73" fillId="0" borderId="24" xfId="47" applyNumberFormat="1" applyFont="1" applyFill="1" applyBorder="1" applyAlignment="1">
      <alignment horizontal="left" vertical="center" wrapText="1" indent="1"/>
    </xf>
    <xf numFmtId="3" fontId="73" fillId="0" borderId="21" xfId="28" applyNumberFormat="1" applyFont="1" applyFill="1" applyBorder="1" applyAlignment="1">
      <alignment horizontal="right" vertical="center" wrapText="1" indent="1"/>
    </xf>
    <xf numFmtId="169" fontId="73" fillId="0" borderId="22" xfId="28" applyNumberFormat="1" applyFont="1" applyFill="1" applyBorder="1" applyAlignment="1">
      <alignment horizontal="right" vertical="center" wrapText="1" indent="1"/>
    </xf>
    <xf numFmtId="3" fontId="70" fillId="0" borderId="29" xfId="47" applyNumberFormat="1" applyFont="1" applyFill="1" applyBorder="1" applyAlignment="1">
      <alignment horizontal="right" vertical="center" wrapText="1" indent="1"/>
    </xf>
    <xf numFmtId="3" fontId="70" fillId="0" borderId="12" xfId="47" applyNumberFormat="1" applyFont="1" applyFill="1" applyBorder="1" applyAlignment="1">
      <alignment horizontal="right" vertical="center" wrapText="1" indent="1"/>
    </xf>
    <xf numFmtId="3" fontId="70" fillId="0" borderId="19" xfId="47" applyNumberFormat="1" applyFont="1" applyFill="1" applyBorder="1" applyAlignment="1">
      <alignment horizontal="right" vertical="center" wrapText="1" indent="1"/>
    </xf>
    <xf numFmtId="3" fontId="73" fillId="0" borderId="35" xfId="47" applyNumberFormat="1" applyFont="1" applyFill="1" applyBorder="1" applyAlignment="1">
      <alignment horizontal="left" vertical="center" wrapText="1" indent="1"/>
    </xf>
    <xf numFmtId="3" fontId="73" fillId="0" borderId="15" xfId="47" applyNumberFormat="1" applyFont="1" applyFill="1" applyBorder="1" applyAlignment="1">
      <alignment horizontal="left" vertical="center" wrapText="1" indent="1"/>
    </xf>
    <xf numFmtId="3" fontId="73" fillId="0" borderId="16" xfId="47" applyNumberFormat="1" applyFont="1" applyFill="1" applyBorder="1" applyAlignment="1">
      <alignment horizontal="left" vertical="center" wrapText="1" indent="1"/>
    </xf>
    <xf numFmtId="4" fontId="70" fillId="0" borderId="32" xfId="0" applyNumberFormat="1" applyFont="1" applyFill="1" applyBorder="1" applyAlignment="1">
      <alignment horizontal="right" vertical="center" wrapText="1" indent="1"/>
    </xf>
    <xf numFmtId="4" fontId="70" fillId="0" borderId="32" xfId="44" applyNumberFormat="1" applyFont="1" applyFill="1" applyBorder="1" applyAlignment="1">
      <alignment horizontal="right" vertical="center" wrapText="1" indent="1"/>
    </xf>
    <xf numFmtId="4" fontId="70" fillId="0" borderId="32" xfId="44" applyNumberFormat="1" applyFont="1" applyFill="1" applyBorder="1" applyAlignment="1">
      <alignment vertical="center" wrapText="1"/>
    </xf>
    <xf numFmtId="4" fontId="70" fillId="0" borderId="32" xfId="0" applyNumberFormat="1" applyFont="1" applyFill="1" applyBorder="1" applyAlignment="1">
      <alignment vertical="center" wrapText="1"/>
    </xf>
    <xf numFmtId="4" fontId="70" fillId="0" borderId="21" xfId="45" applyNumberFormat="1" applyFont="1" applyFill="1" applyBorder="1" applyAlignment="1">
      <alignment vertical="center" wrapText="1"/>
    </xf>
    <xf numFmtId="4" fontId="73" fillId="0" borderId="21" xfId="50" applyNumberFormat="1" applyFont="1" applyFill="1" applyBorder="1" applyAlignment="1">
      <alignment vertical="center" wrapText="1"/>
    </xf>
    <xf numFmtId="4" fontId="73" fillId="0" borderId="22" xfId="50" applyNumberFormat="1" applyFont="1" applyFill="1" applyBorder="1" applyAlignment="1">
      <alignment vertical="center" wrapText="1"/>
    </xf>
    <xf numFmtId="4" fontId="73" fillId="0" borderId="23" xfId="45" applyNumberFormat="1" applyFont="1" applyFill="1" applyBorder="1" applyAlignment="1">
      <alignment vertical="center" wrapText="1"/>
    </xf>
    <xf numFmtId="0" fontId="69" fillId="0" borderId="25" xfId="45" applyFont="1" applyFill="1" applyBorder="1" applyAlignment="1">
      <alignment horizontal="left"/>
    </xf>
    <xf numFmtId="4" fontId="70" fillId="0" borderId="36" xfId="44" applyNumberFormat="1" applyFont="1" applyFill="1" applyBorder="1" applyAlignment="1">
      <alignment horizontal="right" vertical="center" wrapText="1" indent="1"/>
    </xf>
    <xf numFmtId="4" fontId="70" fillId="0" borderId="67" xfId="44" applyNumberFormat="1" applyFont="1" applyFill="1" applyBorder="1" applyAlignment="1">
      <alignment horizontal="right" vertical="center" wrapText="1" indent="1"/>
    </xf>
    <xf numFmtId="4" fontId="70" fillId="0" borderId="67" xfId="44" applyNumberFormat="1" applyFont="1" applyFill="1" applyBorder="1" applyAlignment="1">
      <alignment vertical="center" wrapText="1"/>
    </xf>
    <xf numFmtId="4" fontId="73" fillId="0" borderId="37" xfId="50" applyNumberFormat="1" applyFont="1" applyFill="1" applyBorder="1" applyAlignment="1">
      <alignment horizontal="right" vertical="center" wrapText="1" indent="1"/>
    </xf>
    <xf numFmtId="4" fontId="70" fillId="0" borderId="17" xfId="44" applyNumberFormat="1" applyFont="1" applyFill="1" applyBorder="1" applyAlignment="1">
      <alignment horizontal="right" vertical="center" wrapText="1" indent="1"/>
    </xf>
    <xf numFmtId="4" fontId="73" fillId="0" borderId="31" xfId="50" applyNumberFormat="1" applyFont="1" applyFill="1" applyBorder="1" applyAlignment="1">
      <alignment horizontal="right" vertical="center" wrapText="1" indent="1"/>
    </xf>
    <xf numFmtId="4" fontId="70" fillId="0" borderId="17" xfId="0" applyNumberFormat="1" applyFont="1" applyFill="1" applyBorder="1" applyAlignment="1">
      <alignment horizontal="right" vertical="center" wrapText="1" indent="1"/>
    </xf>
    <xf numFmtId="4" fontId="70" fillId="0" borderId="40" xfId="44" applyNumberFormat="1" applyFont="1" applyFill="1" applyBorder="1" applyAlignment="1">
      <alignment horizontal="right" vertical="center" wrapText="1" indent="1"/>
    </xf>
    <xf numFmtId="4" fontId="70" fillId="0" borderId="68" xfId="44" applyNumberFormat="1" applyFont="1" applyFill="1" applyBorder="1" applyAlignment="1">
      <alignment horizontal="right" vertical="center" wrapText="1" indent="1"/>
    </xf>
    <xf numFmtId="4" fontId="70" fillId="0" borderId="68" xfId="44" applyNumberFormat="1" applyFont="1" applyFill="1" applyBorder="1" applyAlignment="1">
      <alignment vertical="center" wrapText="1"/>
    </xf>
    <xf numFmtId="4" fontId="73" fillId="0" borderId="41" xfId="50" applyNumberFormat="1" applyFont="1" applyFill="1" applyBorder="1" applyAlignment="1">
      <alignment horizontal="right" vertical="center" wrapText="1" indent="1"/>
    </xf>
    <xf numFmtId="0" fontId="2" fillId="0" borderId="0" xfId="0" applyFont="1" applyAlignment="1">
      <alignment horizontal="right"/>
    </xf>
    <xf numFmtId="0" fontId="77" fillId="0" borderId="21" xfId="40" applyFont="1" applyFill="1" applyBorder="1" applyAlignment="1">
      <alignment horizontal="center"/>
    </xf>
    <xf numFmtId="0" fontId="2" fillId="0" borderId="0" xfId="0" applyFont="1" applyAlignment="1"/>
    <xf numFmtId="0" fontId="2" fillId="0" borderId="0" xfId="0" applyFont="1"/>
    <xf numFmtId="3" fontId="45" fillId="0" borderId="0" xfId="46" applyNumberFormat="1" applyFont="1" applyFill="1" applyBorder="1" applyAlignment="1">
      <alignment horizontal="center" vertical="center" wrapText="1"/>
    </xf>
    <xf numFmtId="3" fontId="10" fillId="0" borderId="77" xfId="46" applyNumberFormat="1" applyFont="1" applyFill="1" applyBorder="1" applyAlignment="1">
      <alignment horizontal="right" vertical="center" wrapText="1" indent="1"/>
    </xf>
    <xf numFmtId="3" fontId="73" fillId="0" borderId="23" xfId="46" applyNumberFormat="1" applyFont="1" applyFill="1" applyBorder="1" applyAlignment="1">
      <alignment horizontal="center" vertical="center" wrapText="1"/>
    </xf>
    <xf numFmtId="3" fontId="70" fillId="0" borderId="29" xfId="46" applyNumberFormat="1" applyFont="1" applyFill="1" applyBorder="1" applyAlignment="1">
      <alignment horizontal="right" vertical="center" wrapText="1" indent="1"/>
    </xf>
    <xf numFmtId="3" fontId="70" fillId="0" borderId="19" xfId="46" applyNumberFormat="1" applyFont="1" applyFill="1" applyBorder="1" applyAlignment="1">
      <alignment horizontal="right" vertical="center" wrapText="1" indent="1"/>
    </xf>
    <xf numFmtId="3" fontId="73" fillId="0" borderId="25" xfId="46" applyNumberFormat="1" applyFont="1" applyFill="1" applyBorder="1" applyAlignment="1">
      <alignment horizontal="center" vertical="center" wrapText="1"/>
    </xf>
    <xf numFmtId="3" fontId="73" fillId="0" borderId="20" xfId="46" applyNumberFormat="1" applyFont="1" applyFill="1" applyBorder="1" applyAlignment="1">
      <alignment vertical="center" wrapText="1"/>
    </xf>
    <xf numFmtId="3" fontId="73" fillId="0" borderId="15" xfId="46" applyNumberFormat="1" applyFont="1" applyFill="1" applyBorder="1" applyAlignment="1">
      <alignment vertical="center" wrapText="1"/>
    </xf>
    <xf numFmtId="3" fontId="73" fillId="0" borderId="18" xfId="46" applyNumberFormat="1" applyFont="1" applyFill="1" applyBorder="1" applyAlignment="1">
      <alignment vertical="center" wrapText="1"/>
    </xf>
    <xf numFmtId="3" fontId="73" fillId="0" borderId="25" xfId="46" applyNumberFormat="1" applyFont="1" applyFill="1" applyBorder="1" applyAlignment="1">
      <alignment horizontal="left" vertical="center" wrapText="1" indent="1"/>
    </xf>
    <xf numFmtId="0" fontId="4" fillId="0" borderId="57" xfId="0" applyFont="1" applyFill="1" applyBorder="1"/>
    <xf numFmtId="3" fontId="9" fillId="0" borderId="17" xfId="48" applyNumberFormat="1" applyFont="1" applyFill="1" applyBorder="1" applyAlignment="1"/>
    <xf numFmtId="0" fontId="9" fillId="0" borderId="17" xfId="48" applyNumberFormat="1" applyFont="1" applyFill="1" applyBorder="1" applyAlignment="1">
      <alignment vertical="top" wrapText="1"/>
    </xf>
    <xf numFmtId="3" fontId="9" fillId="0" borderId="17" xfId="48" applyNumberFormat="1" applyFont="1" applyFill="1" applyBorder="1" applyAlignment="1">
      <alignment vertical="center" wrapText="1"/>
    </xf>
    <xf numFmtId="0" fontId="67" fillId="0" borderId="0" xfId="0" applyFont="1" applyFill="1" applyBorder="1" applyAlignment="1">
      <alignment horizontal="right"/>
    </xf>
    <xf numFmtId="3" fontId="10" fillId="0" borderId="48" xfId="46" applyNumberFormat="1" applyFont="1" applyFill="1" applyBorder="1" applyAlignment="1">
      <alignment vertical="center"/>
    </xf>
    <xf numFmtId="3" fontId="10" fillId="0" borderId="96" xfId="46" applyNumberFormat="1" applyFont="1" applyFill="1" applyBorder="1" applyAlignment="1">
      <alignment vertical="center" wrapText="1"/>
    </xf>
    <xf numFmtId="3" fontId="9" fillId="0" borderId="57" xfId="46" applyNumberFormat="1" applyFont="1" applyFill="1" applyBorder="1" applyAlignment="1">
      <alignment vertical="center"/>
    </xf>
    <xf numFmtId="3" fontId="10" fillId="0" borderId="0" xfId="46" applyNumberFormat="1" applyFont="1" applyFill="1" applyBorder="1" applyAlignment="1">
      <alignment vertical="center" wrapText="1"/>
    </xf>
    <xf numFmtId="3" fontId="9" fillId="0" borderId="97" xfId="46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 wrapText="1"/>
    </xf>
    <xf numFmtId="3" fontId="77" fillId="0" borderId="68" xfId="52" applyNumberFormat="1" applyFont="1" applyFill="1" applyBorder="1" applyAlignment="1">
      <alignment horizontal="right" vertical="center" wrapText="1" indent="1"/>
    </xf>
    <xf numFmtId="3" fontId="9" fillId="0" borderId="17" xfId="48" applyNumberFormat="1" applyFont="1" applyFill="1" applyBorder="1" applyAlignment="1">
      <alignment vertical="center"/>
    </xf>
    <xf numFmtId="3" fontId="73" fillId="0" borderId="55" xfId="51" applyNumberFormat="1" applyFont="1" applyFill="1" applyBorder="1" applyAlignment="1">
      <alignment horizontal="left" vertical="center" wrapText="1" indent="1"/>
    </xf>
    <xf numFmtId="3" fontId="73" fillId="0" borderId="56" xfId="51" applyNumberFormat="1" applyFont="1" applyFill="1" applyBorder="1" applyAlignment="1">
      <alignment horizontal="left" vertical="center" wrapText="1" indent="1"/>
    </xf>
    <xf numFmtId="3" fontId="70" fillId="0" borderId="32" xfId="28" applyNumberFormat="1" applyFont="1" applyFill="1" applyBorder="1" applyAlignment="1">
      <alignment horizontal="right" vertical="center" wrapText="1" indent="1"/>
    </xf>
    <xf numFmtId="3" fontId="70" fillId="0" borderId="30" xfId="28" applyNumberFormat="1" applyFont="1" applyFill="1" applyBorder="1" applyAlignment="1">
      <alignment horizontal="right" vertical="center" wrapText="1" indent="1"/>
    </xf>
    <xf numFmtId="3" fontId="73" fillId="0" borderId="63" xfId="51" applyNumberFormat="1" applyFont="1" applyFill="1" applyBorder="1" applyAlignment="1">
      <alignment horizontal="center" vertical="center" wrapText="1"/>
    </xf>
    <xf numFmtId="3" fontId="73" fillId="0" borderId="23" xfId="49" applyNumberFormat="1" applyFont="1" applyFill="1" applyBorder="1" applyAlignment="1">
      <alignment horizontal="center" vertical="center" wrapText="1"/>
    </xf>
    <xf numFmtId="3" fontId="70" fillId="0" borderId="27" xfId="28" applyNumberFormat="1" applyFont="1" applyFill="1" applyBorder="1" applyAlignment="1">
      <alignment horizontal="right" vertical="center" wrapText="1" indent="1"/>
    </xf>
    <xf numFmtId="3" fontId="70" fillId="0" borderId="28" xfId="28" applyNumberFormat="1" applyFont="1" applyFill="1" applyBorder="1" applyAlignment="1">
      <alignment horizontal="right" vertical="center" wrapText="1" indent="1"/>
    </xf>
    <xf numFmtId="3" fontId="70" fillId="0" borderId="17" xfId="28" applyNumberFormat="1" applyFont="1" applyFill="1" applyBorder="1" applyAlignment="1">
      <alignment horizontal="right" vertical="center" wrapText="1" indent="1"/>
    </xf>
    <xf numFmtId="3" fontId="73" fillId="0" borderId="74" xfId="51" applyNumberFormat="1" applyFont="1" applyFill="1" applyBorder="1" applyAlignment="1">
      <alignment horizontal="left" vertical="center" wrapText="1" indent="1"/>
    </xf>
    <xf numFmtId="3" fontId="70" fillId="0" borderId="26" xfId="28" applyNumberFormat="1" applyFont="1" applyFill="1" applyBorder="1" applyAlignment="1">
      <alignment horizontal="right" vertical="center" wrapText="1" indent="1"/>
    </xf>
    <xf numFmtId="3" fontId="70" fillId="0" borderId="34" xfId="28" applyNumberFormat="1" applyFont="1" applyFill="1" applyBorder="1" applyAlignment="1">
      <alignment horizontal="right" vertical="center" wrapText="1" indent="1"/>
    </xf>
    <xf numFmtId="3" fontId="70" fillId="0" borderId="33" xfId="28" applyNumberFormat="1" applyFont="1" applyFill="1" applyBorder="1" applyAlignment="1">
      <alignment horizontal="right" vertical="center" wrapText="1" indent="1"/>
    </xf>
    <xf numFmtId="3" fontId="73" fillId="0" borderId="63" xfId="51" applyNumberFormat="1" applyFont="1" applyFill="1" applyBorder="1" applyAlignment="1">
      <alignment horizontal="left" vertical="center" wrapText="1" indent="1"/>
    </xf>
    <xf numFmtId="3" fontId="70" fillId="0" borderId="36" xfId="28" applyNumberFormat="1" applyFont="1" applyFill="1" applyBorder="1" applyAlignment="1">
      <alignment horizontal="right" vertical="center" wrapText="1" indent="1"/>
    </xf>
    <xf numFmtId="3" fontId="70" fillId="0" borderId="67" xfId="28" applyNumberFormat="1" applyFont="1" applyFill="1" applyBorder="1" applyAlignment="1">
      <alignment horizontal="right" vertical="center" wrapText="1" indent="1"/>
    </xf>
    <xf numFmtId="3" fontId="70" fillId="0" borderId="37" xfId="28" applyNumberFormat="1" applyFont="1" applyFill="1" applyBorder="1" applyAlignment="1">
      <alignment horizontal="right" vertical="center" wrapText="1" indent="1"/>
    </xf>
    <xf numFmtId="0" fontId="70" fillId="0" borderId="20" xfId="52" applyFont="1" applyFill="1" applyBorder="1" applyAlignment="1">
      <alignment horizontal="left" vertical="center" wrapText="1" indent="1"/>
    </xf>
    <xf numFmtId="165" fontId="70" fillId="0" borderId="30" xfId="46" applyNumberFormat="1" applyFont="1" applyFill="1" applyBorder="1" applyAlignment="1">
      <alignment horizontal="right" vertical="center" wrapText="1" indent="1"/>
    </xf>
    <xf numFmtId="2" fontId="70" fillId="0" borderId="30" xfId="46" applyNumberFormat="1" applyFont="1" applyFill="1" applyBorder="1" applyAlignment="1">
      <alignment vertical="center" wrapText="1"/>
    </xf>
    <xf numFmtId="165" fontId="70" fillId="0" borderId="28" xfId="57" applyNumberFormat="1" applyFont="1" applyFill="1" applyBorder="1" applyAlignment="1">
      <alignment horizontal="right" vertical="center" wrapText="1" indent="1"/>
    </xf>
    <xf numFmtId="3" fontId="73" fillId="0" borderId="25" xfId="46" applyNumberFormat="1" applyFont="1" applyFill="1" applyBorder="1" applyAlignment="1">
      <alignment horizontal="left" vertical="center" wrapText="1" indent="2"/>
    </xf>
    <xf numFmtId="165" fontId="72" fillId="0" borderId="21" xfId="57" applyNumberFormat="1" applyFont="1" applyFill="1" applyBorder="1" applyAlignment="1">
      <alignment horizontal="right" vertical="center" wrapText="1" indent="1"/>
    </xf>
    <xf numFmtId="3" fontId="73" fillId="0" borderId="21" xfId="46" applyNumberFormat="1" applyFont="1" applyFill="1" applyBorder="1" applyAlignment="1">
      <alignment horizontal="right" vertical="center" wrapText="1" indent="1"/>
    </xf>
    <xf numFmtId="165" fontId="72" fillId="0" borderId="22" xfId="57" applyNumberFormat="1" applyFont="1" applyFill="1" applyBorder="1" applyAlignment="1">
      <alignment horizontal="right" vertical="center" wrapText="1" indent="1"/>
    </xf>
    <xf numFmtId="165" fontId="70" fillId="0" borderId="34" xfId="46" applyNumberFormat="1" applyFont="1" applyFill="1" applyBorder="1" applyAlignment="1">
      <alignment vertical="center" wrapText="1"/>
    </xf>
    <xf numFmtId="0" fontId="70" fillId="0" borderId="34" xfId="46" applyFont="1" applyFill="1" applyBorder="1" applyAlignment="1">
      <alignment vertical="center" wrapText="1"/>
    </xf>
    <xf numFmtId="165" fontId="70" fillId="0" borderId="33" xfId="57" applyNumberFormat="1" applyFont="1" applyFill="1" applyBorder="1" applyAlignment="1">
      <alignment horizontal="right" vertical="center" wrapText="1" indent="1"/>
    </xf>
    <xf numFmtId="0" fontId="77" fillId="0" borderId="25" xfId="52" applyFont="1" applyFill="1" applyBorder="1" applyAlignment="1">
      <alignment horizontal="left" vertical="center" wrapText="1" indent="1"/>
    </xf>
    <xf numFmtId="165" fontId="70" fillId="0" borderId="21" xfId="46" applyNumberFormat="1" applyFont="1" applyFill="1" applyBorder="1" applyAlignment="1">
      <alignment vertical="center" wrapText="1"/>
    </xf>
    <xf numFmtId="0" fontId="70" fillId="0" borderId="21" xfId="46" applyFont="1" applyFill="1" applyBorder="1" applyAlignment="1">
      <alignment vertical="center" wrapText="1"/>
    </xf>
    <xf numFmtId="165" fontId="70" fillId="0" borderId="22" xfId="57" applyNumberFormat="1" applyFont="1" applyFill="1" applyBorder="1" applyAlignment="1">
      <alignment horizontal="right" vertical="center" wrapText="1" indent="1"/>
    </xf>
    <xf numFmtId="3" fontId="73" fillId="0" borderId="53" xfId="47" applyNumberFormat="1" applyFont="1" applyFill="1" applyBorder="1" applyAlignment="1">
      <alignment horizontal="left" vertical="center" wrapText="1" indent="1"/>
    </xf>
    <xf numFmtId="3" fontId="73" fillId="0" borderId="56" xfId="47" applyNumberFormat="1" applyFont="1" applyFill="1" applyBorder="1" applyAlignment="1">
      <alignment horizontal="left" vertical="center" wrapText="1" indent="1"/>
    </xf>
    <xf numFmtId="3" fontId="73" fillId="0" borderId="54" xfId="47" applyNumberFormat="1" applyFont="1" applyFill="1" applyBorder="1" applyAlignment="1">
      <alignment horizontal="left" vertical="center" wrapText="1" indent="1"/>
    </xf>
    <xf numFmtId="0" fontId="78" fillId="0" borderId="24" xfId="50" applyFont="1" applyFill="1" applyBorder="1" applyAlignment="1">
      <alignment horizontal="center" vertical="center" wrapText="1"/>
    </xf>
    <xf numFmtId="0" fontId="78" fillId="0" borderId="21" xfId="50" applyFont="1" applyFill="1" applyBorder="1" applyAlignment="1">
      <alignment horizontal="center" vertical="center" wrapText="1"/>
    </xf>
    <xf numFmtId="0" fontId="78" fillId="0" borderId="22" xfId="50" applyFont="1" applyFill="1" applyBorder="1" applyAlignment="1">
      <alignment horizontal="center" vertical="center" wrapText="1"/>
    </xf>
    <xf numFmtId="0" fontId="70" fillId="0" borderId="0" xfId="0" applyFont="1" applyAlignment="1">
      <alignment vertical="top"/>
    </xf>
    <xf numFmtId="0" fontId="75" fillId="0" borderId="28" xfId="40" applyNumberFormat="1" applyFont="1" applyFill="1" applyBorder="1" applyAlignment="1">
      <alignment horizontal="center"/>
    </xf>
    <xf numFmtId="0" fontId="75" fillId="0" borderId="31" xfId="40" applyNumberFormat="1" applyFont="1" applyFill="1" applyBorder="1" applyAlignment="1">
      <alignment horizontal="center"/>
    </xf>
    <xf numFmtId="0" fontId="75" fillId="0" borderId="33" xfId="40" applyNumberFormat="1" applyFont="1" applyFill="1" applyBorder="1" applyAlignment="1">
      <alignment horizontal="center"/>
    </xf>
    <xf numFmtId="0" fontId="75" fillId="0" borderId="22" xfId="40" applyNumberFormat="1" applyFont="1" applyFill="1" applyBorder="1" applyAlignment="1">
      <alignment horizontal="center"/>
    </xf>
    <xf numFmtId="166" fontId="75" fillId="0" borderId="36" xfId="27" applyNumberFormat="1" applyFont="1" applyFill="1" applyBorder="1" applyAlignment="1"/>
    <xf numFmtId="174" fontId="75" fillId="0" borderId="67" xfId="27" applyNumberFormat="1" applyFont="1" applyFill="1" applyBorder="1" applyAlignment="1"/>
    <xf numFmtId="166" fontId="75" fillId="0" borderId="17" xfId="27" applyNumberFormat="1" applyFont="1" applyFill="1" applyBorder="1" applyAlignment="1"/>
    <xf numFmtId="174" fontId="75" fillId="0" borderId="32" xfId="27" applyNumberFormat="1" applyFont="1" applyFill="1" applyBorder="1" applyAlignment="1"/>
    <xf numFmtId="174" fontId="75" fillId="0" borderId="68" xfId="27" applyNumberFormat="1" applyFont="1" applyFill="1" applyBorder="1" applyAlignment="1"/>
    <xf numFmtId="174" fontId="75" fillId="0" borderId="21" xfId="27" applyNumberFormat="1" applyFont="1" applyFill="1" applyBorder="1" applyAlignment="1"/>
    <xf numFmtId="174" fontId="75" fillId="0" borderId="37" xfId="27" applyNumberFormat="1" applyFont="1" applyFill="1" applyBorder="1" applyAlignment="1">
      <alignment horizontal="right"/>
    </xf>
    <xf numFmtId="174" fontId="75" fillId="0" borderId="31" xfId="27" applyNumberFormat="1" applyFont="1" applyFill="1" applyBorder="1" applyAlignment="1">
      <alignment horizontal="right"/>
    </xf>
    <xf numFmtId="174" fontId="75" fillId="0" borderId="22" xfId="27" applyNumberFormat="1" applyFont="1" applyFill="1" applyBorder="1" applyAlignment="1">
      <alignment horizontal="right"/>
    </xf>
    <xf numFmtId="0" fontId="77" fillId="0" borderId="23" xfId="0" applyFont="1" applyFill="1" applyBorder="1" applyAlignment="1">
      <alignment horizontal="center" vertical="center" wrapText="1"/>
    </xf>
    <xf numFmtId="0" fontId="77" fillId="0" borderId="25" xfId="40" applyFont="1" applyFill="1" applyBorder="1" applyAlignment="1">
      <alignment horizontal="center" vertical="center"/>
    </xf>
    <xf numFmtId="173" fontId="75" fillId="0" borderId="30" xfId="40" applyNumberFormat="1" applyFont="1" applyFill="1" applyBorder="1" applyAlignment="1">
      <alignment horizontal="distributed"/>
    </xf>
    <xf numFmtId="173" fontId="75" fillId="0" borderId="32" xfId="40" applyNumberFormat="1" applyFont="1" applyFill="1" applyBorder="1" applyAlignment="1">
      <alignment horizontal="distributed"/>
    </xf>
    <xf numFmtId="173" fontId="75" fillId="0" borderId="34" xfId="40" applyNumberFormat="1" applyFont="1" applyFill="1" applyBorder="1" applyAlignment="1">
      <alignment horizontal="distributed"/>
    </xf>
    <xf numFmtId="173" fontId="75" fillId="0" borderId="21" xfId="40" applyNumberFormat="1" applyFont="1" applyFill="1" applyBorder="1" applyAlignment="1">
      <alignment horizontal="distributed"/>
    </xf>
    <xf numFmtId="166" fontId="75" fillId="0" borderId="17" xfId="27" applyNumberFormat="1" applyFont="1" applyFill="1" applyBorder="1" applyAlignment="1">
      <alignment horizontal="right"/>
    </xf>
    <xf numFmtId="166" fontId="75" fillId="0" borderId="40" xfId="27" applyNumberFormat="1" applyFont="1" applyFill="1" applyBorder="1" applyAlignment="1">
      <alignment horizontal="right"/>
    </xf>
    <xf numFmtId="166" fontId="75" fillId="0" borderId="21" xfId="27" applyNumberFormat="1" applyFont="1" applyFill="1" applyBorder="1" applyAlignment="1">
      <alignment horizontal="right"/>
    </xf>
    <xf numFmtId="0" fontId="9" fillId="0" borderId="75" xfId="0" applyFont="1" applyFill="1" applyBorder="1" applyAlignment="1">
      <alignment horizontal="center" vertical="center"/>
    </xf>
    <xf numFmtId="3" fontId="83" fillId="0" borderId="24" xfId="48" applyNumberFormat="1" applyFont="1" applyFill="1" applyBorder="1" applyAlignment="1">
      <alignment horizontal="left" indent="1"/>
    </xf>
    <xf numFmtId="3" fontId="83" fillId="0" borderId="21" xfId="48" applyNumberFormat="1" applyFont="1" applyFill="1" applyBorder="1" applyAlignment="1">
      <alignment horizontal="center" vertical="center" wrapText="1"/>
    </xf>
    <xf numFmtId="165" fontId="84" fillId="0" borderId="22" xfId="48" applyNumberFormat="1" applyFont="1" applyFill="1" applyBorder="1" applyAlignment="1">
      <alignment horizontal="right" vertical="center" wrapText="1" indent="6"/>
    </xf>
    <xf numFmtId="0" fontId="80" fillId="0" borderId="35" xfId="48" applyNumberFormat="1" applyFont="1" applyFill="1" applyBorder="1" applyAlignment="1">
      <alignment horizontal="left" vertical="top" wrapText="1" indent="1"/>
    </xf>
    <xf numFmtId="0" fontId="80" fillId="0" borderId="15" xfId="48" applyNumberFormat="1" applyFont="1" applyFill="1" applyBorder="1" applyAlignment="1">
      <alignment horizontal="left" vertical="top" wrapText="1" indent="1"/>
    </xf>
    <xf numFmtId="3" fontId="80" fillId="0" borderId="15" xfId="48" applyNumberFormat="1" applyFont="1" applyFill="1" applyBorder="1" applyAlignment="1">
      <alignment horizontal="left" indent="1"/>
    </xf>
    <xf numFmtId="3" fontId="82" fillId="0" borderId="16" xfId="48" applyNumberFormat="1" applyFont="1" applyFill="1" applyBorder="1" applyAlignment="1">
      <alignment horizontal="left" indent="1"/>
    </xf>
    <xf numFmtId="3" fontId="80" fillId="0" borderId="36" xfId="0" applyNumberFormat="1" applyFont="1" applyFill="1" applyBorder="1" applyAlignment="1">
      <alignment horizontal="center"/>
    </xf>
    <xf numFmtId="165" fontId="81" fillId="0" borderId="37" xfId="48" applyNumberFormat="1" applyFont="1" applyFill="1" applyBorder="1" applyAlignment="1">
      <alignment horizontal="right" vertical="center" wrapText="1" indent="6"/>
    </xf>
    <xf numFmtId="3" fontId="80" fillId="0" borderId="17" xfId="0" applyNumberFormat="1" applyFont="1" applyFill="1" applyBorder="1" applyAlignment="1">
      <alignment horizontal="center"/>
    </xf>
    <xf numFmtId="165" fontId="81" fillId="0" borderId="31" xfId="48" applyNumberFormat="1" applyFont="1" applyFill="1" applyBorder="1" applyAlignment="1">
      <alignment horizontal="right" vertical="center" wrapText="1" indent="6"/>
    </xf>
    <xf numFmtId="3" fontId="80" fillId="0" borderId="17" xfId="48" applyNumberFormat="1" applyFont="1" applyFill="1" applyBorder="1" applyAlignment="1">
      <alignment horizontal="center" vertical="center" wrapText="1"/>
    </xf>
    <xf numFmtId="3" fontId="82" fillId="0" borderId="40" xfId="48" applyNumberFormat="1" applyFont="1" applyFill="1" applyBorder="1" applyAlignment="1">
      <alignment horizontal="center" vertical="center" wrapText="1"/>
    </xf>
    <xf numFmtId="165" fontId="81" fillId="0" borderId="41" xfId="48" applyNumberFormat="1" applyFont="1" applyFill="1" applyBorder="1" applyAlignment="1">
      <alignment horizontal="right" vertical="center" wrapText="1" indent="6"/>
    </xf>
    <xf numFmtId="3" fontId="9" fillId="0" borderId="114" xfId="46" applyNumberFormat="1" applyFont="1" applyFill="1" applyBorder="1" applyAlignment="1">
      <alignment vertical="center"/>
    </xf>
    <xf numFmtId="3" fontId="10" fillId="0" borderId="103" xfId="46" applyNumberFormat="1" applyFont="1" applyFill="1" applyBorder="1" applyAlignment="1">
      <alignment vertical="center" wrapText="1"/>
    </xf>
    <xf numFmtId="3" fontId="10" fillId="0" borderId="115" xfId="46" applyNumberFormat="1" applyFont="1" applyFill="1" applyBorder="1" applyAlignment="1">
      <alignment vertical="center" wrapText="1"/>
    </xf>
    <xf numFmtId="3" fontId="10" fillId="0" borderId="116" xfId="46" applyNumberFormat="1" applyFont="1" applyFill="1" applyBorder="1" applyAlignment="1">
      <alignment vertical="center" wrapText="1"/>
    </xf>
    <xf numFmtId="3" fontId="10" fillId="0" borderId="26" xfId="46" applyNumberFormat="1" applyFont="1" applyFill="1" applyBorder="1" applyAlignment="1">
      <alignment vertical="center" wrapText="1"/>
    </xf>
    <xf numFmtId="169" fontId="73" fillId="0" borderId="28" xfId="47" applyNumberFormat="1" applyFont="1" applyFill="1" applyBorder="1" applyAlignment="1">
      <alignment horizontal="right" vertical="center" wrapText="1" indent="1"/>
    </xf>
    <xf numFmtId="169" fontId="73" fillId="0" borderId="31" xfId="47" applyNumberFormat="1" applyFont="1" applyFill="1" applyBorder="1" applyAlignment="1">
      <alignment horizontal="right" vertical="center" wrapText="1" indent="1"/>
    </xf>
    <xf numFmtId="169" fontId="73" fillId="0" borderId="33" xfId="47" applyNumberFormat="1" applyFont="1" applyFill="1" applyBorder="1" applyAlignment="1">
      <alignment horizontal="right" vertical="center" wrapText="1" indent="1"/>
    </xf>
    <xf numFmtId="3" fontId="70" fillId="0" borderId="0" xfId="50" applyNumberFormat="1" applyFont="1" applyBorder="1" applyAlignment="1">
      <alignment horizontal="left" vertical="top" wrapText="1"/>
    </xf>
    <xf numFmtId="0" fontId="75" fillId="0" borderId="0" xfId="0" applyFont="1" applyBorder="1" applyAlignment="1">
      <alignment horizontal="left" vertical="top"/>
    </xf>
    <xf numFmtId="3" fontId="70" fillId="0" borderId="0" xfId="51" applyNumberFormat="1" applyFont="1" applyFill="1" applyBorder="1" applyAlignment="1">
      <alignment horizontal="left" vertical="top" wrapText="1"/>
    </xf>
    <xf numFmtId="3" fontId="70" fillId="0" borderId="0" xfId="46" applyNumberFormat="1" applyFont="1" applyFill="1" applyBorder="1" applyAlignment="1">
      <alignment horizontal="left" vertical="top" wrapText="1"/>
    </xf>
    <xf numFmtId="0" fontId="75" fillId="0" borderId="0" xfId="0" applyFont="1" applyBorder="1" applyAlignment="1">
      <alignment horizontal="left" vertical="top" wrapText="1"/>
    </xf>
    <xf numFmtId="3" fontId="70" fillId="0" borderId="0" xfId="52" applyNumberFormat="1" applyFont="1" applyFill="1" applyBorder="1" applyAlignment="1">
      <alignment horizontal="left" vertical="top" wrapText="1"/>
    </xf>
    <xf numFmtId="3" fontId="70" fillId="0" borderId="0" xfId="48" applyNumberFormat="1" applyFont="1" applyFill="1" applyBorder="1" applyAlignment="1">
      <alignment horizontal="left" vertical="top" wrapText="1"/>
    </xf>
    <xf numFmtId="0" fontId="75" fillId="0" borderId="0" xfId="0" applyFont="1" applyAlignment="1">
      <alignment horizontal="left" vertical="top"/>
    </xf>
    <xf numFmtId="0" fontId="70" fillId="0" borderId="0" xfId="48" applyFont="1" applyBorder="1" applyAlignment="1">
      <alignment horizontal="left" vertical="top" wrapText="1"/>
    </xf>
    <xf numFmtId="0" fontId="75" fillId="0" borderId="0" xfId="0" applyFont="1" applyAlignment="1">
      <alignment horizontal="left" vertical="top" wrapText="1"/>
    </xf>
    <xf numFmtId="3" fontId="70" fillId="0" borderId="0" xfId="0" applyNumberFormat="1" applyFont="1" applyFill="1" applyBorder="1" applyAlignment="1">
      <alignment horizontal="left" vertical="top" wrapText="1"/>
    </xf>
    <xf numFmtId="3" fontId="70" fillId="0" borderId="0" xfId="48" applyNumberFormat="1" applyFont="1" applyBorder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left"/>
    </xf>
    <xf numFmtId="0" fontId="2" fillId="0" borderId="71" xfId="0" applyFont="1" applyBorder="1" applyAlignment="1">
      <alignment horizontal="left"/>
    </xf>
    <xf numFmtId="0" fontId="2" fillId="0" borderId="43" xfId="0" applyFont="1" applyBorder="1" applyAlignment="1">
      <alignment horizontal="left"/>
    </xf>
    <xf numFmtId="0" fontId="3" fillId="0" borderId="55" xfId="0" applyFont="1" applyFill="1" applyBorder="1" applyAlignment="1">
      <alignment horizontal="center"/>
    </xf>
    <xf numFmtId="0" fontId="3" fillId="0" borderId="98" xfId="0" applyFont="1" applyFill="1" applyBorder="1" applyAlignment="1">
      <alignment horizontal="center"/>
    </xf>
    <xf numFmtId="0" fontId="3" fillId="0" borderId="99" xfId="0" applyFont="1" applyFill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3" fillId="0" borderId="100" xfId="0" applyFont="1" applyFill="1" applyBorder="1" applyAlignment="1">
      <alignment horizontal="center"/>
    </xf>
    <xf numFmtId="0" fontId="3" fillId="0" borderId="39" xfId="0" applyFont="1" applyFill="1" applyBorder="1" applyAlignment="1">
      <alignment horizontal="center"/>
    </xf>
    <xf numFmtId="0" fontId="13" fillId="0" borderId="55" xfId="0" applyNumberFormat="1" applyFont="1" applyFill="1" applyBorder="1" applyAlignment="1">
      <alignment horizontal="center"/>
    </xf>
    <xf numFmtId="0" fontId="13" fillId="0" borderId="98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>
      <alignment horizontal="center"/>
    </xf>
    <xf numFmtId="0" fontId="13" fillId="0" borderId="99" xfId="0" applyNumberFormat="1" applyFont="1" applyFill="1" applyBorder="1" applyAlignment="1">
      <alignment horizontal="center"/>
    </xf>
    <xf numFmtId="0" fontId="3" fillId="0" borderId="56" xfId="0" applyNumberFormat="1" applyFont="1" applyFill="1" applyBorder="1" applyAlignment="1">
      <alignment horizontal="center"/>
    </xf>
    <xf numFmtId="0" fontId="3" fillId="0" borderId="100" xfId="0" applyNumberFormat="1" applyFont="1" applyFill="1" applyBorder="1" applyAlignment="1">
      <alignment horizontal="center"/>
    </xf>
    <xf numFmtId="0" fontId="3" fillId="0" borderId="39" xfId="0" applyNumberFormat="1" applyFont="1" applyFill="1" applyBorder="1" applyAlignment="1">
      <alignment horizontal="center"/>
    </xf>
    <xf numFmtId="0" fontId="2" fillId="0" borderId="75" xfId="0" applyFont="1" applyFill="1" applyBorder="1" applyAlignment="1">
      <alignment horizontal="center"/>
    </xf>
    <xf numFmtId="0" fontId="2" fillId="0" borderId="101" xfId="0" applyFont="1" applyFill="1" applyBorder="1" applyAlignment="1">
      <alignment horizontal="center"/>
    </xf>
    <xf numFmtId="0" fontId="2" fillId="0" borderId="102" xfId="0" applyFont="1" applyFill="1" applyBorder="1" applyAlignment="1">
      <alignment horizontal="center"/>
    </xf>
    <xf numFmtId="167" fontId="3" fillId="0" borderId="55" xfId="0" applyNumberFormat="1" applyFont="1" applyFill="1" applyBorder="1" applyAlignment="1">
      <alignment horizontal="center"/>
    </xf>
    <xf numFmtId="167" fontId="3" fillId="0" borderId="98" xfId="0" applyNumberFormat="1" applyFont="1" applyFill="1" applyBorder="1" applyAlignment="1">
      <alignment horizontal="center"/>
    </xf>
    <xf numFmtId="167" fontId="3" fillId="0" borderId="99" xfId="0" applyNumberFormat="1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7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103" xfId="0" applyFont="1" applyFill="1" applyBorder="1" applyAlignment="1">
      <alignment horizontal="center" vertical="center"/>
    </xf>
    <xf numFmtId="0" fontId="2" fillId="0" borderId="90" xfId="0" applyFont="1" applyFill="1" applyBorder="1" applyAlignment="1">
      <alignment horizontal="center" vertical="center"/>
    </xf>
    <xf numFmtId="0" fontId="2" fillId="0" borderId="91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8" fillId="0" borderId="10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64" xfId="0" applyFont="1" applyFill="1" applyBorder="1" applyAlignment="1">
      <alignment horizontal="center"/>
    </xf>
    <xf numFmtId="0" fontId="2" fillId="0" borderId="65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45" fillId="0" borderId="0" xfId="0" applyFont="1" applyFill="1" applyBorder="1" applyAlignment="1">
      <alignment horizontal="center"/>
    </xf>
    <xf numFmtId="0" fontId="2" fillId="0" borderId="63" xfId="0" applyFont="1" applyFill="1" applyBorder="1" applyAlignment="1">
      <alignment horizontal="center"/>
    </xf>
    <xf numFmtId="0" fontId="2" fillId="0" borderId="71" xfId="0" applyFont="1" applyFill="1" applyBorder="1" applyAlignment="1">
      <alignment horizontal="center"/>
    </xf>
    <xf numFmtId="0" fontId="2" fillId="0" borderId="43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76" xfId="0" applyFont="1" applyFill="1" applyBorder="1" applyAlignment="1">
      <alignment horizontal="center"/>
    </xf>
    <xf numFmtId="0" fontId="2" fillId="0" borderId="77" xfId="0" applyFont="1" applyFill="1" applyBorder="1" applyAlignment="1">
      <alignment horizontal="center"/>
    </xf>
    <xf numFmtId="0" fontId="8" fillId="0" borderId="0" xfId="0" applyFont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53" xfId="0" applyFont="1" applyFill="1" applyBorder="1" applyAlignment="1">
      <alignment horizontal="center" vertical="center"/>
    </xf>
    <xf numFmtId="0" fontId="2" fillId="0" borderId="93" xfId="0" applyFont="1" applyFill="1" applyBorder="1" applyAlignment="1">
      <alignment horizontal="center"/>
    </xf>
    <xf numFmtId="0" fontId="2" fillId="0" borderId="90" xfId="0" applyFont="1" applyFill="1" applyBorder="1" applyAlignment="1">
      <alignment horizontal="center"/>
    </xf>
    <xf numFmtId="0" fontId="2" fillId="0" borderId="91" xfId="0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2" fillId="0" borderId="67" xfId="0" applyFont="1" applyFill="1" applyBorder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75" xfId="0" applyFont="1" applyFill="1" applyBorder="1" applyAlignment="1">
      <alignment horizontal="center" vertical="center"/>
    </xf>
    <xf numFmtId="0" fontId="9" fillId="0" borderId="102" xfId="0" applyFont="1" applyFill="1" applyBorder="1" applyAlignment="1">
      <alignment horizontal="center" vertical="center"/>
    </xf>
    <xf numFmtId="0" fontId="9" fillId="0" borderId="10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9" fillId="0" borderId="35" xfId="0" applyFont="1" applyFill="1" applyBorder="1" applyAlignment="1">
      <alignment vertical="center"/>
    </xf>
    <xf numFmtId="0" fontId="9" fillId="0" borderId="26" xfId="0" applyFont="1" applyFill="1" applyBorder="1" applyAlignment="1">
      <alignment horizontal="right" vertical="center" wrapText="1" indent="1"/>
    </xf>
    <xf numFmtId="0" fontId="9" fillId="0" borderId="69" xfId="0" applyFont="1" applyFill="1" applyBorder="1" applyAlignment="1">
      <alignment horizontal="right" vertical="center" wrapText="1" indent="1"/>
    </xf>
    <xf numFmtId="0" fontId="9" fillId="0" borderId="55" xfId="0" applyFont="1" applyFill="1" applyBorder="1" applyAlignment="1">
      <alignment horizontal="center" vertical="center"/>
    </xf>
    <xf numFmtId="0" fontId="9" fillId="0" borderId="98" xfId="0" applyFont="1" applyFill="1" applyBorder="1" applyAlignment="1">
      <alignment horizontal="center" vertical="center"/>
    </xf>
    <xf numFmtId="0" fontId="9" fillId="0" borderId="9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61" xfId="0" applyFont="1" applyFill="1" applyBorder="1" applyAlignment="1">
      <alignment horizontal="center" vertical="center"/>
    </xf>
    <xf numFmtId="0" fontId="9" fillId="0" borderId="50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3" fontId="71" fillId="0" borderId="36" xfId="0" applyNumberFormat="1" applyFont="1" applyFill="1" applyBorder="1" applyAlignment="1">
      <alignment horizontal="center" vertical="center" wrapText="1"/>
    </xf>
    <xf numFmtId="3" fontId="71" fillId="0" borderId="40" xfId="0" applyNumberFormat="1" applyFont="1" applyFill="1" applyBorder="1" applyAlignment="1">
      <alignment horizontal="center" vertical="center" wrapText="1"/>
    </xf>
    <xf numFmtId="168" fontId="71" fillId="0" borderId="67" xfId="0" applyNumberFormat="1" applyFont="1" applyFill="1" applyBorder="1" applyAlignment="1">
      <alignment horizontal="center" vertical="center" wrapText="1"/>
    </xf>
    <xf numFmtId="168" fontId="71" fillId="0" borderId="68" xfId="0" applyNumberFormat="1" applyFont="1" applyFill="1" applyBorder="1" applyAlignment="1">
      <alignment horizontal="center" vertical="center" wrapText="1"/>
    </xf>
    <xf numFmtId="4" fontId="71" fillId="0" borderId="67" xfId="0" applyNumberFormat="1" applyFont="1" applyBorder="1" applyAlignment="1">
      <alignment horizontal="center" vertical="center" wrapText="1"/>
    </xf>
    <xf numFmtId="4" fontId="71" fillId="0" borderId="68" xfId="0" applyNumberFormat="1" applyFont="1" applyBorder="1" applyAlignment="1">
      <alignment horizontal="center" vertical="center" wrapText="1"/>
    </xf>
    <xf numFmtId="3" fontId="71" fillId="0" borderId="67" xfId="0" applyNumberFormat="1" applyFont="1" applyBorder="1" applyAlignment="1">
      <alignment horizontal="left" vertical="center" textRotation="1" wrapText="1"/>
    </xf>
    <xf numFmtId="3" fontId="79" fillId="0" borderId="0" xfId="0" applyNumberFormat="1" applyFont="1" applyFill="1" applyBorder="1" applyAlignment="1">
      <alignment horizontal="center" vertical="center" wrapText="1"/>
    </xf>
    <xf numFmtId="168" fontId="71" fillId="0" borderId="67" xfId="0" applyNumberFormat="1" applyFont="1" applyBorder="1" applyAlignment="1">
      <alignment horizontal="center" vertical="center" textRotation="90" wrapText="1"/>
    </xf>
    <xf numFmtId="168" fontId="71" fillId="0" borderId="68" xfId="0" applyNumberFormat="1" applyFont="1" applyBorder="1" applyAlignment="1">
      <alignment horizontal="center" vertical="center" textRotation="90" wrapText="1"/>
    </xf>
    <xf numFmtId="4" fontId="71" fillId="0" borderId="67" xfId="0" applyNumberFormat="1" applyFont="1" applyBorder="1" applyAlignment="1">
      <alignment horizontal="center" vertical="center" textRotation="90" wrapText="1"/>
    </xf>
    <xf numFmtId="4" fontId="71" fillId="0" borderId="68" xfId="0" applyNumberFormat="1" applyFont="1" applyBorder="1" applyAlignment="1">
      <alignment horizontal="center" vertical="center" textRotation="90" wrapText="1"/>
    </xf>
    <xf numFmtId="4" fontId="71" fillId="0" borderId="37" xfId="0" applyNumberFormat="1" applyFont="1" applyBorder="1" applyAlignment="1">
      <alignment horizontal="center" vertical="center" textRotation="90" wrapText="1"/>
    </xf>
    <xf numFmtId="4" fontId="71" fillId="0" borderId="41" xfId="0" applyNumberFormat="1" applyFont="1" applyBorder="1" applyAlignment="1">
      <alignment horizontal="center" vertical="center" textRotation="90" wrapText="1"/>
    </xf>
    <xf numFmtId="0" fontId="77" fillId="0" borderId="24" xfId="40" applyFont="1" applyFill="1" applyBorder="1" applyAlignment="1">
      <alignment horizontal="left"/>
    </xf>
    <xf numFmtId="0" fontId="77" fillId="0" borderId="21" xfId="4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77" fillId="0" borderId="24" xfId="40" applyFont="1" applyFill="1" applyBorder="1" applyAlignment="1">
      <alignment horizontal="center"/>
    </xf>
    <xf numFmtId="0" fontId="77" fillId="0" borderId="21" xfId="40" applyFont="1" applyFill="1" applyBorder="1" applyAlignment="1">
      <alignment horizontal="center"/>
    </xf>
    <xf numFmtId="0" fontId="75" fillId="0" borderId="27" xfId="40" applyFont="1" applyFill="1" applyBorder="1" applyAlignment="1">
      <alignment horizontal="left"/>
    </xf>
    <xf numFmtId="0" fontId="75" fillId="0" borderId="30" xfId="40" applyFont="1" applyFill="1" applyBorder="1" applyAlignment="1">
      <alignment horizontal="left"/>
    </xf>
    <xf numFmtId="0" fontId="75" fillId="0" borderId="17" xfId="40" applyFont="1" applyFill="1" applyBorder="1" applyAlignment="1">
      <alignment horizontal="left"/>
    </xf>
    <xf numFmtId="0" fontId="75" fillId="0" borderId="32" xfId="40" applyFont="1" applyFill="1" applyBorder="1" applyAlignment="1">
      <alignment horizontal="left"/>
    </xf>
    <xf numFmtId="0" fontId="75" fillId="0" borderId="56" xfId="40" applyFont="1" applyFill="1" applyBorder="1" applyAlignment="1">
      <alignment horizontal="left" wrapText="1"/>
    </xf>
    <xf numFmtId="0" fontId="75" fillId="0" borderId="12" xfId="40" applyFont="1" applyFill="1" applyBorder="1" applyAlignment="1">
      <alignment horizontal="left" wrapText="1"/>
    </xf>
    <xf numFmtId="0" fontId="75" fillId="0" borderId="26" xfId="40" applyFont="1" applyFill="1" applyBorder="1" applyAlignment="1">
      <alignment horizontal="left"/>
    </xf>
    <xf numFmtId="0" fontId="75" fillId="0" borderId="34" xfId="40" applyFont="1" applyFill="1" applyBorder="1" applyAlignment="1">
      <alignment horizontal="left"/>
    </xf>
    <xf numFmtId="3" fontId="45" fillId="0" borderId="0" xfId="48" applyNumberFormat="1" applyFont="1" applyFill="1" applyBorder="1" applyAlignment="1">
      <alignment horizontal="center" vertical="center" wrapText="1"/>
    </xf>
    <xf numFmtId="3" fontId="60" fillId="0" borderId="0" xfId="48" applyNumberFormat="1" applyFont="1" applyBorder="1" applyAlignment="1">
      <alignment horizontal="left" vertical="center" wrapText="1"/>
    </xf>
    <xf numFmtId="0" fontId="64" fillId="0" borderId="0" xfId="48" applyFont="1" applyBorder="1" applyAlignment="1">
      <alignment horizontal="center" vertical="center" wrapText="1"/>
    </xf>
    <xf numFmtId="3" fontId="79" fillId="0" borderId="0" xfId="48" applyNumberFormat="1" applyFont="1" applyBorder="1" applyAlignment="1">
      <alignment horizontal="center" vertical="center" wrapText="1"/>
    </xf>
    <xf numFmtId="3" fontId="45" fillId="0" borderId="0" xfId="48" applyNumberFormat="1" applyFont="1" applyBorder="1" applyAlignment="1">
      <alignment horizontal="center" vertical="center" wrapText="1"/>
    </xf>
    <xf numFmtId="0" fontId="45" fillId="0" borderId="0" xfId="48" applyFont="1" applyBorder="1" applyAlignment="1">
      <alignment horizontal="center" vertical="center" wrapText="1"/>
    </xf>
    <xf numFmtId="3" fontId="58" fillId="0" borderId="0" xfId="48" applyNumberFormat="1" applyFont="1" applyBorder="1" applyAlignment="1">
      <alignment horizontal="center" vertical="center" wrapText="1"/>
    </xf>
    <xf numFmtId="3" fontId="79" fillId="0" borderId="0" xfId="48" applyNumberFormat="1" applyFont="1" applyFill="1" applyBorder="1" applyAlignment="1">
      <alignment horizontal="center" vertical="center" wrapText="1"/>
    </xf>
    <xf numFmtId="3" fontId="79" fillId="0" borderId="0" xfId="46" applyNumberFormat="1" applyFont="1" applyFill="1" applyBorder="1" applyAlignment="1">
      <alignment horizontal="center" vertical="center" wrapText="1"/>
    </xf>
    <xf numFmtId="3" fontId="79" fillId="0" borderId="0" xfId="51" applyNumberFormat="1" applyFont="1" applyFill="1" applyBorder="1" applyAlignment="1">
      <alignment horizontal="center" vertical="center" wrapText="1"/>
    </xf>
    <xf numFmtId="3" fontId="45" fillId="0" borderId="0" xfId="46" applyNumberFormat="1" applyFont="1" applyFill="1" applyBorder="1" applyAlignment="1">
      <alignment horizontal="center" vertical="center" wrapText="1"/>
    </xf>
    <xf numFmtId="3" fontId="10" fillId="0" borderId="93" xfId="46" applyNumberFormat="1" applyFont="1" applyFill="1" applyBorder="1" applyAlignment="1">
      <alignment horizontal="justify" vertical="top" wrapText="1"/>
    </xf>
    <xf numFmtId="3" fontId="10" fillId="0" borderId="59" xfId="46" applyNumberFormat="1" applyFont="1" applyFill="1" applyBorder="1" applyAlignment="1">
      <alignment horizontal="justify" vertical="top" wrapText="1"/>
    </xf>
    <xf numFmtId="3" fontId="10" fillId="0" borderId="105" xfId="46" applyNumberFormat="1" applyFont="1" applyFill="1" applyBorder="1" applyAlignment="1">
      <alignment horizontal="justify" vertical="top" wrapText="1"/>
    </xf>
    <xf numFmtId="3" fontId="10" fillId="0" borderId="48" xfId="46" applyNumberFormat="1" applyFont="1" applyFill="1" applyBorder="1" applyAlignment="1">
      <alignment horizontal="left" vertical="top" wrapText="1"/>
    </xf>
    <xf numFmtId="3" fontId="10" fillId="0" borderId="0" xfId="46" applyNumberFormat="1" applyFont="1" applyFill="1" applyBorder="1" applyAlignment="1">
      <alignment horizontal="left" vertical="top" wrapText="1"/>
    </xf>
    <xf numFmtId="3" fontId="10" fillId="0" borderId="106" xfId="46" applyNumberFormat="1" applyFont="1" applyFill="1" applyBorder="1" applyAlignment="1">
      <alignment horizontal="left" vertical="top" wrapText="1"/>
    </xf>
    <xf numFmtId="3" fontId="10" fillId="0" borderId="103" xfId="46" applyNumberFormat="1" applyFont="1" applyFill="1" applyBorder="1" applyAlignment="1">
      <alignment horizontal="center" vertical="center" wrapText="1"/>
    </xf>
    <xf numFmtId="3" fontId="10" fillId="0" borderId="58" xfId="46" applyNumberFormat="1" applyFont="1" applyFill="1" applyBorder="1" applyAlignment="1">
      <alignment horizontal="center" vertical="center" wrapText="1"/>
    </xf>
    <xf numFmtId="3" fontId="10" fillId="0" borderId="27" xfId="46" applyNumberFormat="1" applyFont="1" applyFill="1" applyBorder="1" applyAlignment="1">
      <alignment horizontal="center" vertical="center" wrapText="1"/>
    </xf>
    <xf numFmtId="3" fontId="10" fillId="0" borderId="93" xfId="46" applyNumberFormat="1" applyFont="1" applyFill="1" applyBorder="1" applyAlignment="1">
      <alignment horizontal="center" vertical="top" wrapText="1"/>
    </xf>
    <xf numFmtId="3" fontId="10" fillId="0" borderId="59" xfId="46" applyNumberFormat="1" applyFont="1" applyFill="1" applyBorder="1" applyAlignment="1">
      <alignment horizontal="center" vertical="top" wrapText="1"/>
    </xf>
    <xf numFmtId="3" fontId="10" fillId="0" borderId="105" xfId="46" applyNumberFormat="1" applyFont="1" applyFill="1" applyBorder="1" applyAlignment="1">
      <alignment horizontal="center" vertical="top" wrapText="1"/>
    </xf>
    <xf numFmtId="3" fontId="10" fillId="0" borderId="98" xfId="46" applyNumberFormat="1" applyFont="1" applyFill="1" applyBorder="1" applyAlignment="1">
      <alignment horizontal="left" vertical="center" wrapText="1"/>
    </xf>
    <xf numFmtId="3" fontId="10" fillId="0" borderId="29" xfId="46" applyNumberFormat="1" applyFont="1" applyFill="1" applyBorder="1" applyAlignment="1">
      <alignment horizontal="left" vertical="center" wrapText="1"/>
    </xf>
    <xf numFmtId="3" fontId="10" fillId="0" borderId="34" xfId="46" applyNumberFormat="1" applyFont="1" applyFill="1" applyBorder="1" applyAlignment="1">
      <alignment horizontal="left" vertical="top" wrapText="1"/>
    </xf>
    <xf numFmtId="3" fontId="10" fillId="0" borderId="30" xfId="46" applyNumberFormat="1" applyFont="1" applyFill="1" applyBorder="1" applyAlignment="1">
      <alignment horizontal="left" vertical="top" wrapText="1"/>
    </xf>
    <xf numFmtId="3" fontId="10" fillId="0" borderId="106" xfId="46" applyNumberFormat="1" applyFont="1" applyFill="1" applyBorder="1" applyAlignment="1">
      <alignment horizontal="left" vertical="center" wrapText="1"/>
    </xf>
    <xf numFmtId="3" fontId="10" fillId="0" borderId="105" xfId="46" applyNumberFormat="1" applyFont="1" applyFill="1" applyBorder="1" applyAlignment="1">
      <alignment horizontal="left" vertical="center" wrapText="1"/>
    </xf>
    <xf numFmtId="3" fontId="15" fillId="0" borderId="0" xfId="46" applyNumberFormat="1" applyFont="1" applyFill="1" applyAlignment="1">
      <alignment horizontal="left" vertical="center" wrapText="1"/>
    </xf>
    <xf numFmtId="3" fontId="10" fillId="0" borderId="107" xfId="46" applyNumberFormat="1" applyFont="1" applyFill="1" applyBorder="1" applyAlignment="1">
      <alignment horizontal="left" vertical="top" wrapText="1"/>
    </xf>
    <xf numFmtId="3" fontId="10" fillId="0" borderId="108" xfId="46" applyNumberFormat="1" applyFont="1" applyFill="1" applyBorder="1" applyAlignment="1">
      <alignment horizontal="left" vertical="top" wrapText="1"/>
    </xf>
    <xf numFmtId="3" fontId="10" fillId="0" borderId="109" xfId="46" applyNumberFormat="1" applyFont="1" applyFill="1" applyBorder="1" applyAlignment="1">
      <alignment horizontal="left" vertical="top" wrapText="1"/>
    </xf>
    <xf numFmtId="3" fontId="10" fillId="0" borderId="110" xfId="46" applyNumberFormat="1" applyFont="1" applyFill="1" applyBorder="1" applyAlignment="1">
      <alignment horizontal="left" vertical="top" wrapText="1"/>
    </xf>
    <xf numFmtId="3" fontId="10" fillId="0" borderId="111" xfId="46" applyNumberFormat="1" applyFont="1" applyFill="1" applyBorder="1" applyAlignment="1">
      <alignment horizontal="left" vertical="top" wrapText="1"/>
    </xf>
    <xf numFmtId="3" fontId="10" fillId="0" borderId="112" xfId="46" applyNumberFormat="1" applyFont="1" applyFill="1" applyBorder="1" applyAlignment="1">
      <alignment horizontal="left" vertical="top" wrapText="1"/>
    </xf>
    <xf numFmtId="3" fontId="10" fillId="0" borderId="110" xfId="46" applyNumberFormat="1" applyFont="1" applyFill="1" applyBorder="1" applyAlignment="1">
      <alignment horizontal="center" vertical="center" wrapText="1"/>
    </xf>
    <xf numFmtId="3" fontId="10" fillId="0" borderId="111" xfId="46" applyNumberFormat="1" applyFont="1" applyFill="1" applyBorder="1" applyAlignment="1">
      <alignment horizontal="center" vertical="center" wrapText="1"/>
    </xf>
    <xf numFmtId="3" fontId="10" fillId="0" borderId="113" xfId="46" applyNumberFormat="1" applyFont="1" applyFill="1" applyBorder="1" applyAlignment="1">
      <alignment horizontal="center" vertical="center" wrapText="1"/>
    </xf>
    <xf numFmtId="3" fontId="10" fillId="0" borderId="17" xfId="46" applyNumberFormat="1" applyFont="1" applyFill="1" applyBorder="1" applyAlignment="1">
      <alignment horizontal="center" vertical="center" wrapText="1"/>
    </xf>
    <xf numFmtId="3" fontId="79" fillId="0" borderId="104" xfId="52" applyNumberFormat="1" applyFont="1" applyFill="1" applyBorder="1" applyAlignment="1">
      <alignment horizontal="center" vertical="center" wrapText="1"/>
    </xf>
    <xf numFmtId="3" fontId="73" fillId="0" borderId="35" xfId="52" applyNumberFormat="1" applyFont="1" applyFill="1" applyBorder="1" applyAlignment="1">
      <alignment horizontal="center" vertical="center" wrapText="1"/>
    </xf>
    <xf numFmtId="3" fontId="73" fillId="0" borderId="16" xfId="52" applyNumberFormat="1" applyFont="1" applyFill="1" applyBorder="1" applyAlignment="1">
      <alignment horizontal="center" vertical="center" wrapText="1"/>
    </xf>
    <xf numFmtId="3" fontId="73" fillId="0" borderId="24" xfId="52" applyNumberFormat="1" applyFont="1" applyFill="1" applyBorder="1" applyAlignment="1">
      <alignment horizontal="center" vertical="center" wrapText="1"/>
    </xf>
    <xf numFmtId="3" fontId="73" fillId="0" borderId="21" xfId="52" applyNumberFormat="1" applyFont="1" applyFill="1" applyBorder="1" applyAlignment="1">
      <alignment horizontal="center" vertical="center" wrapText="1"/>
    </xf>
    <xf numFmtId="3" fontId="73" fillId="0" borderId="72" xfId="52" applyNumberFormat="1" applyFont="1" applyFill="1" applyBorder="1" applyAlignment="1">
      <alignment horizontal="center" vertical="center" wrapText="1"/>
    </xf>
    <xf numFmtId="3" fontId="73" fillId="0" borderId="71" xfId="52" applyNumberFormat="1" applyFont="1" applyFill="1" applyBorder="1" applyAlignment="1">
      <alignment horizontal="center" vertical="center" wrapText="1"/>
    </xf>
    <xf numFmtId="3" fontId="73" fillId="0" borderId="23" xfId="52" applyNumberFormat="1" applyFont="1" applyFill="1" applyBorder="1" applyAlignment="1">
      <alignment horizontal="center" vertical="center" wrapText="1"/>
    </xf>
    <xf numFmtId="3" fontId="73" fillId="0" borderId="22" xfId="52" applyNumberFormat="1" applyFont="1" applyFill="1" applyBorder="1" applyAlignment="1">
      <alignment horizontal="center" vertical="center" wrapText="1"/>
    </xf>
    <xf numFmtId="3" fontId="45" fillId="0" borderId="0" xfId="52" applyNumberFormat="1" applyFont="1" applyFill="1" applyBorder="1" applyAlignment="1">
      <alignment horizontal="center" vertical="center" wrapText="1"/>
    </xf>
    <xf numFmtId="3" fontId="9" fillId="0" borderId="35" xfId="52" applyNumberFormat="1" applyFont="1" applyFill="1" applyBorder="1" applyAlignment="1">
      <alignment horizontal="center" vertical="center" wrapText="1"/>
    </xf>
    <xf numFmtId="3" fontId="9" fillId="0" borderId="16" xfId="52" applyNumberFormat="1" applyFont="1" applyFill="1" applyBorder="1" applyAlignment="1">
      <alignment horizontal="center" vertical="center" wrapText="1"/>
    </xf>
    <xf numFmtId="3" fontId="9" fillId="0" borderId="23" xfId="52" applyNumberFormat="1" applyFont="1" applyFill="1" applyBorder="1" applyAlignment="1">
      <alignment horizontal="center" vertical="center" wrapText="1"/>
    </xf>
    <xf numFmtId="3" fontId="9" fillId="0" borderId="21" xfId="52" applyNumberFormat="1" applyFont="1" applyFill="1" applyBorder="1" applyAlignment="1">
      <alignment horizontal="center" vertical="center" wrapText="1"/>
    </xf>
    <xf numFmtId="3" fontId="9" fillId="0" borderId="22" xfId="52" applyNumberFormat="1" applyFont="1" applyFill="1" applyBorder="1" applyAlignment="1">
      <alignment horizontal="center" vertical="center" wrapText="1"/>
    </xf>
    <xf numFmtId="3" fontId="9" fillId="0" borderId="72" xfId="52" applyNumberFormat="1" applyFont="1" applyFill="1" applyBorder="1" applyAlignment="1">
      <alignment horizontal="center" vertical="center" wrapText="1"/>
    </xf>
    <xf numFmtId="3" fontId="9" fillId="0" borderId="24" xfId="52" applyNumberFormat="1" applyFont="1" applyFill="1" applyBorder="1" applyAlignment="1">
      <alignment horizontal="center" vertical="center" wrapText="1"/>
    </xf>
    <xf numFmtId="3" fontId="9" fillId="0" borderId="75" xfId="46" applyNumberFormat="1" applyFont="1" applyFill="1" applyBorder="1" applyAlignment="1">
      <alignment horizontal="center" vertical="center" wrapText="1"/>
    </xf>
    <xf numFmtId="0" fontId="6" fillId="0" borderId="102" xfId="0" applyFont="1" applyFill="1" applyBorder="1"/>
    <xf numFmtId="0" fontId="6" fillId="0" borderId="101" xfId="0" applyFont="1" applyFill="1" applyBorder="1"/>
    <xf numFmtId="3" fontId="9" fillId="0" borderId="35" xfId="46" applyNumberFormat="1" applyFont="1" applyFill="1" applyBorder="1" applyAlignment="1">
      <alignment horizontal="center" vertical="center" wrapText="1"/>
    </xf>
    <xf numFmtId="3" fontId="9" fillId="0" borderId="16" xfId="46" applyNumberFormat="1" applyFont="1" applyFill="1" applyBorder="1" applyAlignment="1">
      <alignment horizontal="center" vertical="center" wrapText="1"/>
    </xf>
    <xf numFmtId="3" fontId="73" fillId="0" borderId="35" xfId="46" applyNumberFormat="1" applyFont="1" applyFill="1" applyBorder="1" applyAlignment="1">
      <alignment horizontal="center" vertical="center" wrapText="1"/>
    </xf>
    <xf numFmtId="3" fontId="73" fillId="0" borderId="16" xfId="46" applyNumberFormat="1" applyFont="1" applyFill="1" applyBorder="1" applyAlignment="1">
      <alignment horizontal="center" vertical="center" wrapText="1"/>
    </xf>
    <xf numFmtId="3" fontId="79" fillId="0" borderId="0" xfId="47" applyNumberFormat="1" applyFont="1" applyFill="1" applyAlignment="1">
      <alignment horizontal="center" vertical="center" wrapText="1"/>
    </xf>
    <xf numFmtId="3" fontId="79" fillId="0" borderId="0" xfId="50" applyNumberFormat="1" applyFont="1" applyFill="1" applyBorder="1" applyAlignment="1">
      <alignment horizontal="center" vertical="center" wrapText="1"/>
    </xf>
    <xf numFmtId="3" fontId="73" fillId="0" borderId="14" xfId="50" applyNumberFormat="1" applyFont="1" applyFill="1" applyBorder="1" applyAlignment="1">
      <alignment horizontal="center" vertical="center" wrapText="1"/>
    </xf>
    <xf numFmtId="3" fontId="73" fillId="0" borderId="50" xfId="50" applyNumberFormat="1" applyFont="1" applyFill="1" applyBorder="1" applyAlignment="1">
      <alignment horizontal="center" vertical="center" wrapText="1"/>
    </xf>
    <xf numFmtId="0" fontId="73" fillId="0" borderId="103" xfId="45" applyFont="1" applyFill="1" applyBorder="1" applyAlignment="1">
      <alignment horizontal="center" vertical="center" wrapText="1"/>
    </xf>
    <xf numFmtId="0" fontId="73" fillId="0" borderId="90" xfId="45" applyFont="1" applyFill="1" applyBorder="1" applyAlignment="1">
      <alignment horizontal="center" vertical="center" wrapText="1"/>
    </xf>
    <xf numFmtId="0" fontId="73" fillId="0" borderId="91" xfId="45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47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47" fillId="0" borderId="0" xfId="0" applyFont="1" applyAlignment="1">
      <alignment horizontal="center" vertical="center" wrapText="1"/>
    </xf>
  </cellXfs>
  <cellStyles count="10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Čiarka" xfId="27" builtinId="3"/>
    <cellStyle name="čiarky 2" xfId="28"/>
    <cellStyle name="čiarky 3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Check Cell" xfId="36"/>
    <cellStyle name="Input" xfId="37"/>
    <cellStyle name="Linked Cell" xfId="38"/>
    <cellStyle name="Neutral" xfId="39"/>
    <cellStyle name="Normálna" xfId="0" builtinId="0"/>
    <cellStyle name="Normálna 2" xfId="40"/>
    <cellStyle name="normálne 2" xfId="41"/>
    <cellStyle name="normálne 2 2" xfId="42"/>
    <cellStyle name="normálne 3" xfId="43"/>
    <cellStyle name="normálne 3 2" xfId="44"/>
    <cellStyle name="normálne 4" xfId="45"/>
    <cellStyle name="normálne_Databazy_VVŠ_2006_ severská" xfId="46"/>
    <cellStyle name="normálne_Databazy_VVŠ_2007_ severská" xfId="47"/>
    <cellStyle name="normálne_OVT - Tab_16az23_sprava_VVS_2004" xfId="48"/>
    <cellStyle name="normálne_správa_2005_tabuľky_v7_hodnoty 2" xfId="49"/>
    <cellStyle name="normálne_sprava_VVŠ_2004_tabuľky_vláda" xfId="50"/>
    <cellStyle name="normálne_Viest 2" xfId="51"/>
    <cellStyle name="normálne_Výročná_správa_o_VŠ_2005_financie_databazy_po_kontrole_OFVŠ_PM" xfId="52"/>
    <cellStyle name="normálne_Výročná_správa_o_VŠ_2007_tabuľky  MACULAK" xfId="53"/>
    <cellStyle name="normální_List1" xfId="54"/>
    <cellStyle name="Note" xfId="55"/>
    <cellStyle name="Output" xfId="56"/>
    <cellStyle name="Percentá" xfId="57" builtinId="5"/>
    <cellStyle name="percentá 2" xfId="58"/>
    <cellStyle name="SAPBEXaggData" xfId="59"/>
    <cellStyle name="SAPBEXaggDataEmph" xfId="60"/>
    <cellStyle name="SAPBEXaggItem" xfId="61"/>
    <cellStyle name="SAPBEXaggItemX" xfId="62"/>
    <cellStyle name="SAPBEXexcBad7" xfId="63"/>
    <cellStyle name="SAPBEXexcBad8" xfId="64"/>
    <cellStyle name="SAPBEXexcBad9" xfId="65"/>
    <cellStyle name="SAPBEXexcCritical4" xfId="66"/>
    <cellStyle name="SAPBEXexcCritical5" xfId="67"/>
    <cellStyle name="SAPBEXexcCritical6" xfId="68"/>
    <cellStyle name="SAPBEXexcGood1" xfId="69"/>
    <cellStyle name="SAPBEXexcGood2" xfId="70"/>
    <cellStyle name="SAPBEXexcGood3" xfId="71"/>
    <cellStyle name="SAPBEXfilterDrill" xfId="72"/>
    <cellStyle name="SAPBEXfilterItem" xfId="73"/>
    <cellStyle name="SAPBEXfilterText" xfId="74"/>
    <cellStyle name="SAPBEXformats" xfId="75"/>
    <cellStyle name="SAPBEXheaderItem" xfId="76"/>
    <cellStyle name="SAPBEXheaderText" xfId="77"/>
    <cellStyle name="SAPBEXHLevel0" xfId="78"/>
    <cellStyle name="SAPBEXHLevel0X" xfId="79"/>
    <cellStyle name="SAPBEXHLevel1" xfId="80"/>
    <cellStyle name="SAPBEXHLevel1X" xfId="81"/>
    <cellStyle name="SAPBEXHLevel2" xfId="82"/>
    <cellStyle name="SAPBEXHLevel2X" xfId="83"/>
    <cellStyle name="SAPBEXHLevel3" xfId="84"/>
    <cellStyle name="SAPBEXHLevel3X" xfId="85"/>
    <cellStyle name="SAPBEXchaText" xfId="86"/>
    <cellStyle name="SAPBEXresData" xfId="87"/>
    <cellStyle name="SAPBEXresDataEmph" xfId="88"/>
    <cellStyle name="SAPBEXresItem" xfId="89"/>
    <cellStyle name="SAPBEXresItemX" xfId="90"/>
    <cellStyle name="SAPBEXstdData" xfId="91"/>
    <cellStyle name="SAPBEXstdDataEmph" xfId="92"/>
    <cellStyle name="SAPBEXstdItem" xfId="93"/>
    <cellStyle name="SAPBEXstdItemX" xfId="94"/>
    <cellStyle name="SAPBEXtitle" xfId="95"/>
    <cellStyle name="SAPBEXundefined" xfId="96"/>
    <cellStyle name="Title" xfId="97"/>
    <cellStyle name="Total" xfId="98"/>
    <cellStyle name="Warning Text" xfId="99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31.888817930237487</c:v>
              </c:pt>
              <c:pt idx="2">
                <c:v>27.43590913237837</c:v>
              </c:pt>
              <c:pt idx="3">
                <c:v>2.4184228932883167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31.888817930237369</c:v>
              </c:pt>
              <c:pt idx="2">
                <c:v>27.435909132378274</c:v>
              </c:pt>
              <c:pt idx="3">
                <c:v>2.4184228932883065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31.888817930237369</c:v>
              </c:pt>
              <c:pt idx="2">
                <c:v>27.435909132378274</c:v>
              </c:pt>
              <c:pt idx="3">
                <c:v>2.4184228932883065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31.888817930237369</c:v>
              </c:pt>
              <c:pt idx="2">
                <c:v>27.435909132378274</c:v>
              </c:pt>
              <c:pt idx="3">
                <c:v>2.4184228932883065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15.160569291123076</c:v>
              </c:pt>
              <c:pt idx="1">
                <c:v>31.88881793023749</c:v>
              </c:pt>
              <c:pt idx="2">
                <c:v>27.435909132378427</c:v>
              </c:pt>
              <c:pt idx="3">
                <c:v>2.4184228932883225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15.160569291123076</c:v>
              </c:pt>
              <c:pt idx="1">
                <c:v>31.88881793023749</c:v>
              </c:pt>
              <c:pt idx="2">
                <c:v>27.435909132378427</c:v>
              </c:pt>
              <c:pt idx="3">
                <c:v>2.4184228932883225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31.888817930237487</c:v>
              </c:pt>
              <c:pt idx="2">
                <c:v>27.43590913237837</c:v>
              </c:pt>
              <c:pt idx="3">
                <c:v>2.4184228932883167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15.160569291123009</c:v>
              </c:pt>
              <c:pt idx="1">
                <c:v>31.888817930237487</c:v>
              </c:pt>
              <c:pt idx="2">
                <c:v>27.435909132378377</c:v>
              </c:pt>
              <c:pt idx="3">
                <c:v>2.4184228932883176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15.160569291123009</c:v>
              </c:pt>
              <c:pt idx="1">
                <c:v>31.888817930237487</c:v>
              </c:pt>
              <c:pt idx="2">
                <c:v>27.435909132378377</c:v>
              </c:pt>
              <c:pt idx="3">
                <c:v>2.4184228932883176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15.160569291123076</c:v>
              </c:pt>
              <c:pt idx="1">
                <c:v>31.88881793023749</c:v>
              </c:pt>
              <c:pt idx="2">
                <c:v>27.435909132378427</c:v>
              </c:pt>
              <c:pt idx="3">
                <c:v>2.4184228932883225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15.160569291123076</c:v>
              </c:pt>
              <c:pt idx="1">
                <c:v>31.88881793023749</c:v>
              </c:pt>
              <c:pt idx="2">
                <c:v>27.435909132378427</c:v>
              </c:pt>
              <c:pt idx="3">
                <c:v>2.4184228932883225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56" r="0.75000000000000056" t="1" header="0.49212598450000028" footer="0.49212598450000028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15.160569291123009</c:v>
              </c:pt>
              <c:pt idx="1">
                <c:v>31.888817930237487</c:v>
              </c:pt>
              <c:pt idx="2">
                <c:v>27.435909132378377</c:v>
              </c:pt>
              <c:pt idx="3">
                <c:v>2.4184228932883176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15.160569291123009</c:v>
              </c:pt>
              <c:pt idx="1">
                <c:v>31.888817930237487</c:v>
              </c:pt>
              <c:pt idx="2">
                <c:v>27.435909132378377</c:v>
              </c:pt>
              <c:pt idx="3">
                <c:v>2.4184228932883176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089" r="0.75000000000000089" t="1" header="0.49212598450000039" footer="0.49212598450000039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832174103237096"/>
          <c:y val="5.6846322853990112E-2"/>
          <c:w val="0.84112270341207362"/>
          <c:h val="0.62381219794766585"/>
        </c:manualLayout>
      </c:layout>
      <c:barChart>
        <c:barDir val="col"/>
        <c:grouping val="stacked"/>
        <c:varyColors val="0"/>
        <c:ser>
          <c:idx val="0"/>
          <c:order val="0"/>
          <c:tx>
            <c:v>verejné</c:v>
          </c:tx>
          <c:invertIfNegative val="0"/>
          <c:cat>
            <c:strLit>
              <c:ptCount val="9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</c:strLit>
          </c:cat>
          <c:val>
            <c:numLit>
              <c:formatCode>General</c:formatCode>
              <c:ptCount val="9"/>
              <c:pt idx="0">
                <c:v>146966</c:v>
              </c:pt>
              <c:pt idx="1">
                <c:v>152969</c:v>
              </c:pt>
              <c:pt idx="2">
                <c:v>168095</c:v>
              </c:pt>
              <c:pt idx="3">
                <c:v>181508</c:v>
              </c:pt>
              <c:pt idx="4">
                <c:v>194052</c:v>
              </c:pt>
              <c:pt idx="5">
                <c:v>196071</c:v>
              </c:pt>
              <c:pt idx="6">
                <c:v>194992</c:v>
              </c:pt>
              <c:pt idx="7">
                <c:v>187644</c:v>
              </c:pt>
              <c:pt idx="8">
                <c:v>179658</c:v>
              </c:pt>
            </c:numLit>
          </c:val>
        </c:ser>
        <c:ser>
          <c:idx val="1"/>
          <c:order val="1"/>
          <c:tx>
            <c:v>súkromné</c:v>
          </c:tx>
          <c:invertIfNegative val="0"/>
          <c:cat>
            <c:strLit>
              <c:ptCount val="9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</c:strLit>
          </c:cat>
          <c:val>
            <c:numLit>
              <c:formatCode>General</c:formatCode>
              <c:ptCount val="9"/>
              <c:pt idx="0">
                <c:v>600</c:v>
              </c:pt>
              <c:pt idx="1">
                <c:v>1369</c:v>
              </c:pt>
              <c:pt idx="2">
                <c:v>3556</c:v>
              </c:pt>
              <c:pt idx="3">
                <c:v>8332</c:v>
              </c:pt>
              <c:pt idx="4">
                <c:v>15465</c:v>
              </c:pt>
              <c:pt idx="5">
                <c:v>23988</c:v>
              </c:pt>
              <c:pt idx="6">
                <c:v>30774</c:v>
              </c:pt>
              <c:pt idx="7">
                <c:v>37944</c:v>
              </c:pt>
              <c:pt idx="8">
                <c:v>37381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109091072"/>
        <c:axId val="109147648"/>
      </c:barChart>
      <c:catAx>
        <c:axId val="1090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147648"/>
        <c:crosses val="autoZero"/>
        <c:auto val="1"/>
        <c:lblAlgn val="ctr"/>
        <c:lblOffset val="100"/>
        <c:noMultiLvlLbl val="0"/>
      </c:catAx>
      <c:valAx>
        <c:axId val="109147648"/>
        <c:scaling>
          <c:orientation val="minMax"/>
          <c:max val="220000"/>
          <c:min val="0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109091072"/>
        <c:crosses val="autoZero"/>
        <c:crossBetween val="between"/>
        <c:majorUnit val="50000"/>
        <c:minorUnit val="250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verejné</c:v>
          </c:tx>
          <c:invertIfNegative val="0"/>
          <c:cat>
            <c:strLit>
              <c:ptCount val="9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</c:strLit>
          </c:cat>
          <c:val>
            <c:numLit>
              <c:formatCode>General</c:formatCode>
              <c:ptCount val="9"/>
              <c:pt idx="0">
                <c:v>146966</c:v>
              </c:pt>
              <c:pt idx="1">
                <c:v>152969</c:v>
              </c:pt>
              <c:pt idx="2">
                <c:v>168095</c:v>
              </c:pt>
              <c:pt idx="3">
                <c:v>181508</c:v>
              </c:pt>
              <c:pt idx="4">
                <c:v>194052</c:v>
              </c:pt>
              <c:pt idx="5">
                <c:v>196071</c:v>
              </c:pt>
              <c:pt idx="6">
                <c:v>194992</c:v>
              </c:pt>
              <c:pt idx="7">
                <c:v>187644</c:v>
              </c:pt>
              <c:pt idx="8">
                <c:v>179658</c:v>
              </c:pt>
            </c:numLit>
          </c:val>
        </c:ser>
        <c:ser>
          <c:idx val="1"/>
          <c:order val="1"/>
          <c:tx>
            <c:v>súkromné</c:v>
          </c:tx>
          <c:invertIfNegative val="0"/>
          <c:cat>
            <c:strLit>
              <c:ptCount val="9"/>
              <c:pt idx="0">
                <c:v>2002</c:v>
              </c:pt>
              <c:pt idx="1">
                <c:v>2003</c:v>
              </c:pt>
              <c:pt idx="2">
                <c:v>2004</c:v>
              </c:pt>
              <c:pt idx="3">
                <c:v>2005</c:v>
              </c:pt>
              <c:pt idx="4">
                <c:v>2006</c:v>
              </c:pt>
              <c:pt idx="5">
                <c:v>2007</c:v>
              </c:pt>
              <c:pt idx="6">
                <c:v>2008</c:v>
              </c:pt>
              <c:pt idx="7">
                <c:v>2009</c:v>
              </c:pt>
              <c:pt idx="8">
                <c:v>2010</c:v>
              </c:pt>
            </c:strLit>
          </c:cat>
          <c:val>
            <c:numLit>
              <c:formatCode>General</c:formatCode>
              <c:ptCount val="9"/>
              <c:pt idx="0">
                <c:v>600</c:v>
              </c:pt>
              <c:pt idx="1">
                <c:v>1369</c:v>
              </c:pt>
              <c:pt idx="2">
                <c:v>3556</c:v>
              </c:pt>
              <c:pt idx="3">
                <c:v>8332</c:v>
              </c:pt>
              <c:pt idx="4">
                <c:v>15465</c:v>
              </c:pt>
              <c:pt idx="5">
                <c:v>23988</c:v>
              </c:pt>
              <c:pt idx="6">
                <c:v>30774</c:v>
              </c:pt>
              <c:pt idx="7">
                <c:v>37944</c:v>
              </c:pt>
              <c:pt idx="8">
                <c:v>37381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7"/>
        <c:overlap val="100"/>
        <c:axId val="108964480"/>
        <c:axId val="109384064"/>
      </c:barChart>
      <c:catAx>
        <c:axId val="10896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384064"/>
        <c:crosses val="autoZero"/>
        <c:auto val="1"/>
        <c:lblAlgn val="ctr"/>
        <c:lblOffset val="100"/>
        <c:noMultiLvlLbl val="0"/>
      </c:catAx>
      <c:valAx>
        <c:axId val="109384064"/>
        <c:scaling>
          <c:orientation val="minMax"/>
          <c:max val="1"/>
          <c:min val="0"/>
        </c:scaling>
        <c:delete val="0"/>
        <c:axPos val="l"/>
        <c:majorGridlines/>
        <c:minorGridlines/>
        <c:numFmt formatCode="0%" sourceLinked="1"/>
        <c:majorTickMark val="out"/>
        <c:minorTickMark val="none"/>
        <c:tickLblPos val="nextTo"/>
        <c:crossAx val="1089644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I, II DF</c:v>
          </c:tx>
          <c:spPr>
            <a:ln>
              <a:solidFill>
                <a:schemeClr val="tx1"/>
              </a:solidFill>
            </a:ln>
          </c:spPr>
          <c:invertIfNegative val="0"/>
          <c:cat>
            <c:strLit>
              <c:ptCount val="30"/>
              <c:pt idx="0">
                <c:v>UK BA</c:v>
              </c:pt>
              <c:pt idx="1">
                <c:v>STU BA</c:v>
              </c:pt>
              <c:pt idx="2">
                <c:v>TUKE</c:v>
              </c:pt>
              <c:pt idx="3">
                <c:v>VŠZaSP</c:v>
              </c:pt>
              <c:pt idx="4">
                <c:v>EU BA</c:v>
              </c:pt>
              <c:pt idx="5">
                <c:v>UMB</c:v>
              </c:pt>
              <c:pt idx="6">
                <c:v>UKF Nr</c:v>
              </c:pt>
              <c:pt idx="7">
                <c:v>ŽU</c:v>
              </c:pt>
              <c:pt idx="8">
                <c:v>PU</c:v>
              </c:pt>
              <c:pt idx="9">
                <c:v>SPU</c:v>
              </c:pt>
              <c:pt idx="10">
                <c:v>UPJŠ</c:v>
              </c:pt>
              <c:pt idx="11">
                <c:v>TvU</c:v>
              </c:pt>
              <c:pt idx="12">
                <c:v>KU</c:v>
              </c:pt>
              <c:pt idx="13">
                <c:v>UCM</c:v>
              </c:pt>
              <c:pt idx="14">
                <c:v>TUAD</c:v>
              </c:pt>
              <c:pt idx="15">
                <c:v>TUZvo</c:v>
              </c:pt>
              <c:pt idx="16">
                <c:v>PEVŠ</c:v>
              </c:pt>
              <c:pt idx="17">
                <c:v>DTI</c:v>
              </c:pt>
              <c:pt idx="18">
                <c:v>VŠEMVS</c:v>
              </c:pt>
              <c:pt idx="19">
                <c:v>VŠSl</c:v>
              </c:pt>
              <c:pt idx="20">
                <c:v>VŠBM</c:v>
              </c:pt>
              <c:pt idx="21">
                <c:v>UJS</c:v>
              </c:pt>
              <c:pt idx="22">
                <c:v>UVLF</c:v>
              </c:pt>
              <c:pt idx="23">
                <c:v>VŠM </c:v>
              </c:pt>
              <c:pt idx="24">
                <c:v>SEVŠ</c:v>
              </c:pt>
              <c:pt idx="25">
                <c:v>VŠMU</c:v>
              </c:pt>
              <c:pt idx="26">
                <c:v>ISM</c:v>
              </c:pt>
              <c:pt idx="27">
                <c:v>VŠVU</c:v>
              </c:pt>
              <c:pt idx="28">
                <c:v>AU</c:v>
              </c:pt>
              <c:pt idx="29">
                <c:v>BISLA</c:v>
              </c:pt>
            </c:strLit>
          </c:cat>
          <c:val>
            <c:numLit>
              <c:formatCode>General</c:formatCode>
              <c:ptCount val="30"/>
              <c:pt idx="0">
                <c:v>20453</c:v>
              </c:pt>
              <c:pt idx="1">
                <c:v>15932</c:v>
              </c:pt>
              <c:pt idx="2">
                <c:v>12519</c:v>
              </c:pt>
              <c:pt idx="3">
                <c:v>2002</c:v>
              </c:pt>
              <c:pt idx="4">
                <c:v>9850</c:v>
              </c:pt>
              <c:pt idx="5">
                <c:v>7679</c:v>
              </c:pt>
              <c:pt idx="6">
                <c:v>8036</c:v>
              </c:pt>
              <c:pt idx="7">
                <c:v>8910</c:v>
              </c:pt>
              <c:pt idx="8">
                <c:v>6851</c:v>
              </c:pt>
              <c:pt idx="9">
                <c:v>6825</c:v>
              </c:pt>
              <c:pt idx="10">
                <c:v>7103</c:v>
              </c:pt>
              <c:pt idx="11">
                <c:v>4396</c:v>
              </c:pt>
              <c:pt idx="12">
                <c:v>3827</c:v>
              </c:pt>
              <c:pt idx="13">
                <c:v>4576</c:v>
              </c:pt>
              <c:pt idx="14">
                <c:v>3178</c:v>
              </c:pt>
              <c:pt idx="15">
                <c:v>3356</c:v>
              </c:pt>
              <c:pt idx="16">
                <c:v>2197</c:v>
              </c:pt>
              <c:pt idx="17">
                <c:v>0</c:v>
              </c:pt>
              <c:pt idx="18">
                <c:v>558</c:v>
              </c:pt>
              <c:pt idx="19">
                <c:v>699</c:v>
              </c:pt>
              <c:pt idx="20">
                <c:v>1679</c:v>
              </c:pt>
              <c:pt idx="21">
                <c:v>1555</c:v>
              </c:pt>
              <c:pt idx="22">
                <c:v>1719</c:v>
              </c:pt>
              <c:pt idx="23">
                <c:v>1046</c:v>
              </c:pt>
              <c:pt idx="24">
                <c:v>437</c:v>
              </c:pt>
              <c:pt idx="25">
                <c:v>962</c:v>
              </c:pt>
              <c:pt idx="26">
                <c:v>480</c:v>
              </c:pt>
              <c:pt idx="27">
                <c:v>605</c:v>
              </c:pt>
              <c:pt idx="28">
                <c:v>560</c:v>
              </c:pt>
              <c:pt idx="29">
                <c:v>58</c:v>
              </c:pt>
            </c:numLit>
          </c:val>
        </c:ser>
        <c:ser>
          <c:idx val="1"/>
          <c:order val="1"/>
          <c:tx>
            <c:v>I, II EF</c:v>
          </c:tx>
          <c:spPr>
            <a:ln>
              <a:solidFill>
                <a:schemeClr val="tx1"/>
              </a:solidFill>
            </a:ln>
          </c:spPr>
          <c:invertIfNegative val="0"/>
          <c:cat>
            <c:strLit>
              <c:ptCount val="30"/>
              <c:pt idx="0">
                <c:v>UK BA</c:v>
              </c:pt>
              <c:pt idx="1">
                <c:v>STU BA</c:v>
              </c:pt>
              <c:pt idx="2">
                <c:v>TUKE</c:v>
              </c:pt>
              <c:pt idx="3">
                <c:v>VŠZaSP</c:v>
              </c:pt>
              <c:pt idx="4">
                <c:v>EU BA</c:v>
              </c:pt>
              <c:pt idx="5">
                <c:v>UMB</c:v>
              </c:pt>
              <c:pt idx="6">
                <c:v>UKF Nr</c:v>
              </c:pt>
              <c:pt idx="7">
                <c:v>ŽU</c:v>
              </c:pt>
              <c:pt idx="8">
                <c:v>PU</c:v>
              </c:pt>
              <c:pt idx="9">
                <c:v>SPU</c:v>
              </c:pt>
              <c:pt idx="10">
                <c:v>UPJŠ</c:v>
              </c:pt>
              <c:pt idx="11">
                <c:v>TvU</c:v>
              </c:pt>
              <c:pt idx="12">
                <c:v>KU</c:v>
              </c:pt>
              <c:pt idx="13">
                <c:v>UCM</c:v>
              </c:pt>
              <c:pt idx="14">
                <c:v>TUAD</c:v>
              </c:pt>
              <c:pt idx="15">
                <c:v>TUZvo</c:v>
              </c:pt>
              <c:pt idx="16">
                <c:v>PEVŠ</c:v>
              </c:pt>
              <c:pt idx="17">
                <c:v>DTI</c:v>
              </c:pt>
              <c:pt idx="18">
                <c:v>VŠEMVS</c:v>
              </c:pt>
              <c:pt idx="19">
                <c:v>VŠSl</c:v>
              </c:pt>
              <c:pt idx="20">
                <c:v>VŠBM</c:v>
              </c:pt>
              <c:pt idx="21">
                <c:v>UJS</c:v>
              </c:pt>
              <c:pt idx="22">
                <c:v>UVLF</c:v>
              </c:pt>
              <c:pt idx="23">
                <c:v>VŠM </c:v>
              </c:pt>
              <c:pt idx="24">
                <c:v>SEVŠ</c:v>
              </c:pt>
              <c:pt idx="25">
                <c:v>VŠMU</c:v>
              </c:pt>
              <c:pt idx="26">
                <c:v>ISM</c:v>
              </c:pt>
              <c:pt idx="27">
                <c:v>VŠVU</c:v>
              </c:pt>
              <c:pt idx="28">
                <c:v>AU</c:v>
              </c:pt>
              <c:pt idx="29">
                <c:v>BISLA</c:v>
              </c:pt>
            </c:strLit>
          </c:cat>
          <c:val>
            <c:numLit>
              <c:formatCode>General</c:formatCode>
              <c:ptCount val="30"/>
              <c:pt idx="0">
                <c:v>4484</c:v>
              </c:pt>
              <c:pt idx="1">
                <c:v>470</c:v>
              </c:pt>
              <c:pt idx="2">
                <c:v>3087</c:v>
              </c:pt>
              <c:pt idx="3">
                <c:v>11327</c:v>
              </c:pt>
              <c:pt idx="4">
                <c:v>2393</c:v>
              </c:pt>
              <c:pt idx="5">
                <c:v>4355</c:v>
              </c:pt>
              <c:pt idx="6">
                <c:v>3810</c:v>
              </c:pt>
              <c:pt idx="7">
                <c:v>2198</c:v>
              </c:pt>
              <c:pt idx="8">
                <c:v>3157</c:v>
              </c:pt>
              <c:pt idx="9">
                <c:v>2696</c:v>
              </c:pt>
              <c:pt idx="10">
                <c:v>1023</c:v>
              </c:pt>
              <c:pt idx="11">
                <c:v>2619</c:v>
              </c:pt>
              <c:pt idx="12">
                <c:v>3105</c:v>
              </c:pt>
              <c:pt idx="13">
                <c:v>1236</c:v>
              </c:pt>
              <c:pt idx="14">
                <c:v>2465</c:v>
              </c:pt>
              <c:pt idx="15">
                <c:v>1596</c:v>
              </c:pt>
              <c:pt idx="16">
                <c:v>2414</c:v>
              </c:pt>
              <c:pt idx="17">
                <c:v>4568</c:v>
              </c:pt>
              <c:pt idx="18">
                <c:v>3772</c:v>
              </c:pt>
              <c:pt idx="19">
                <c:v>2523</c:v>
              </c:pt>
              <c:pt idx="20">
                <c:v>1469</c:v>
              </c:pt>
              <c:pt idx="21">
                <c:v>838</c:v>
              </c:pt>
              <c:pt idx="22">
                <c:v>127</c:v>
              </c:pt>
              <c:pt idx="23">
                <c:v>331</c:v>
              </c:pt>
              <c:pt idx="24">
                <c:v>669</c:v>
              </c:pt>
              <c:pt idx="25">
                <c:v>0</c:v>
              </c:pt>
              <c:pt idx="26">
                <c:v>449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ser>
          <c:idx val="2"/>
          <c:order val="2"/>
          <c:tx>
            <c:v>III DF</c:v>
          </c:tx>
          <c:spPr>
            <a:ln>
              <a:solidFill>
                <a:schemeClr val="tx1"/>
              </a:solidFill>
            </a:ln>
          </c:spPr>
          <c:invertIfNegative val="0"/>
          <c:cat>
            <c:strLit>
              <c:ptCount val="30"/>
              <c:pt idx="0">
                <c:v>UK BA</c:v>
              </c:pt>
              <c:pt idx="1">
                <c:v>STU BA</c:v>
              </c:pt>
              <c:pt idx="2">
                <c:v>TUKE</c:v>
              </c:pt>
              <c:pt idx="3">
                <c:v>VŠZaSP</c:v>
              </c:pt>
              <c:pt idx="4">
                <c:v>EU BA</c:v>
              </c:pt>
              <c:pt idx="5">
                <c:v>UMB</c:v>
              </c:pt>
              <c:pt idx="6">
                <c:v>UKF Nr</c:v>
              </c:pt>
              <c:pt idx="7">
                <c:v>ŽU</c:v>
              </c:pt>
              <c:pt idx="8">
                <c:v>PU</c:v>
              </c:pt>
              <c:pt idx="9">
                <c:v>SPU</c:v>
              </c:pt>
              <c:pt idx="10">
                <c:v>UPJŠ</c:v>
              </c:pt>
              <c:pt idx="11">
                <c:v>TvU</c:v>
              </c:pt>
              <c:pt idx="12">
                <c:v>KU</c:v>
              </c:pt>
              <c:pt idx="13">
                <c:v>UCM</c:v>
              </c:pt>
              <c:pt idx="14">
                <c:v>TUAD</c:v>
              </c:pt>
              <c:pt idx="15">
                <c:v>TUZvo</c:v>
              </c:pt>
              <c:pt idx="16">
                <c:v>PEVŠ</c:v>
              </c:pt>
              <c:pt idx="17">
                <c:v>DTI</c:v>
              </c:pt>
              <c:pt idx="18">
                <c:v>VŠEMVS</c:v>
              </c:pt>
              <c:pt idx="19">
                <c:v>VŠSl</c:v>
              </c:pt>
              <c:pt idx="20">
                <c:v>VŠBM</c:v>
              </c:pt>
              <c:pt idx="21">
                <c:v>UJS</c:v>
              </c:pt>
              <c:pt idx="22">
                <c:v>UVLF</c:v>
              </c:pt>
              <c:pt idx="23">
                <c:v>VŠM </c:v>
              </c:pt>
              <c:pt idx="24">
                <c:v>SEVŠ</c:v>
              </c:pt>
              <c:pt idx="25">
                <c:v>VŠMU</c:v>
              </c:pt>
              <c:pt idx="26">
                <c:v>ISM</c:v>
              </c:pt>
              <c:pt idx="27">
                <c:v>VŠVU</c:v>
              </c:pt>
              <c:pt idx="28">
                <c:v>AU</c:v>
              </c:pt>
              <c:pt idx="29">
                <c:v>BISLA</c:v>
              </c:pt>
            </c:strLit>
          </c:cat>
          <c:val>
            <c:numLit>
              <c:formatCode>General</c:formatCode>
              <c:ptCount val="30"/>
              <c:pt idx="0">
                <c:v>1558</c:v>
              </c:pt>
              <c:pt idx="1">
                <c:v>1156</c:v>
              </c:pt>
              <c:pt idx="2">
                <c:v>554</c:v>
              </c:pt>
              <c:pt idx="3">
                <c:v>37</c:v>
              </c:pt>
              <c:pt idx="4">
                <c:v>262</c:v>
              </c:pt>
              <c:pt idx="5">
                <c:v>252</c:v>
              </c:pt>
              <c:pt idx="6">
                <c:v>242</c:v>
              </c:pt>
              <c:pt idx="7">
                <c:v>393</c:v>
              </c:pt>
              <c:pt idx="8">
                <c:v>205</c:v>
              </c:pt>
              <c:pt idx="9">
                <c:v>258</c:v>
              </c:pt>
              <c:pt idx="10">
                <c:v>320</c:v>
              </c:pt>
              <c:pt idx="11">
                <c:v>188</c:v>
              </c:pt>
              <c:pt idx="12">
                <c:v>169</c:v>
              </c:pt>
              <c:pt idx="13">
                <c:v>77</c:v>
              </c:pt>
              <c:pt idx="14">
                <c:v>84</c:v>
              </c:pt>
              <c:pt idx="15">
                <c:v>153</c:v>
              </c:pt>
              <c:pt idx="16">
                <c:v>38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9</c:v>
              </c:pt>
              <c:pt idx="22">
                <c:v>114</c:v>
              </c:pt>
              <c:pt idx="23">
                <c:v>1</c:v>
              </c:pt>
              <c:pt idx="24">
                <c:v>9</c:v>
              </c:pt>
              <c:pt idx="25">
                <c:v>63</c:v>
              </c:pt>
              <c:pt idx="26">
                <c:v>0</c:v>
              </c:pt>
              <c:pt idx="27">
                <c:v>64</c:v>
              </c:pt>
              <c:pt idx="28">
                <c:v>30</c:v>
              </c:pt>
              <c:pt idx="29">
                <c:v>0</c:v>
              </c:pt>
            </c:numLit>
          </c:val>
        </c:ser>
        <c:ser>
          <c:idx val="3"/>
          <c:order val="3"/>
          <c:tx>
            <c:v>III EF</c:v>
          </c:tx>
          <c:spPr>
            <a:ln>
              <a:solidFill>
                <a:schemeClr val="tx1"/>
              </a:solidFill>
            </a:ln>
          </c:spPr>
          <c:invertIfNegative val="0"/>
          <c:cat>
            <c:strLit>
              <c:ptCount val="30"/>
              <c:pt idx="0">
                <c:v>UK BA</c:v>
              </c:pt>
              <c:pt idx="1">
                <c:v>STU BA</c:v>
              </c:pt>
              <c:pt idx="2">
                <c:v>TUKE</c:v>
              </c:pt>
              <c:pt idx="3">
                <c:v>VŠZaSP</c:v>
              </c:pt>
              <c:pt idx="4">
                <c:v>EU BA</c:v>
              </c:pt>
              <c:pt idx="5">
                <c:v>UMB</c:v>
              </c:pt>
              <c:pt idx="6">
                <c:v>UKF Nr</c:v>
              </c:pt>
              <c:pt idx="7">
                <c:v>ŽU</c:v>
              </c:pt>
              <c:pt idx="8">
                <c:v>PU</c:v>
              </c:pt>
              <c:pt idx="9">
                <c:v>SPU</c:v>
              </c:pt>
              <c:pt idx="10">
                <c:v>UPJŠ</c:v>
              </c:pt>
              <c:pt idx="11">
                <c:v>TvU</c:v>
              </c:pt>
              <c:pt idx="12">
                <c:v>KU</c:v>
              </c:pt>
              <c:pt idx="13">
                <c:v>UCM</c:v>
              </c:pt>
              <c:pt idx="14">
                <c:v>TUAD</c:v>
              </c:pt>
              <c:pt idx="15">
                <c:v>TUZvo</c:v>
              </c:pt>
              <c:pt idx="16">
                <c:v>PEVŠ</c:v>
              </c:pt>
              <c:pt idx="17">
                <c:v>DTI</c:v>
              </c:pt>
              <c:pt idx="18">
                <c:v>VŠEMVS</c:v>
              </c:pt>
              <c:pt idx="19">
                <c:v>VŠSl</c:v>
              </c:pt>
              <c:pt idx="20">
                <c:v>VŠBM</c:v>
              </c:pt>
              <c:pt idx="21">
                <c:v>UJS</c:v>
              </c:pt>
              <c:pt idx="22">
                <c:v>UVLF</c:v>
              </c:pt>
              <c:pt idx="23">
                <c:v>VŠM </c:v>
              </c:pt>
              <c:pt idx="24">
                <c:v>SEVŠ</c:v>
              </c:pt>
              <c:pt idx="25">
                <c:v>VŠMU</c:v>
              </c:pt>
              <c:pt idx="26">
                <c:v>ISM</c:v>
              </c:pt>
              <c:pt idx="27">
                <c:v>VŠVU</c:v>
              </c:pt>
              <c:pt idx="28">
                <c:v>AU</c:v>
              </c:pt>
              <c:pt idx="29">
                <c:v>BISLA</c:v>
              </c:pt>
            </c:strLit>
          </c:cat>
          <c:val>
            <c:numLit>
              <c:formatCode>General</c:formatCode>
              <c:ptCount val="30"/>
              <c:pt idx="0">
                <c:v>1066</c:v>
              </c:pt>
              <c:pt idx="1">
                <c:v>584</c:v>
              </c:pt>
              <c:pt idx="2">
                <c:v>470</c:v>
              </c:pt>
              <c:pt idx="3">
                <c:v>386</c:v>
              </c:pt>
              <c:pt idx="4">
                <c:v>324</c:v>
              </c:pt>
              <c:pt idx="5">
                <c:v>211</c:v>
              </c:pt>
              <c:pt idx="6">
                <c:v>277</c:v>
              </c:pt>
              <c:pt idx="7">
                <c:v>260</c:v>
              </c:pt>
              <c:pt idx="8">
                <c:v>367</c:v>
              </c:pt>
              <c:pt idx="9">
                <c:v>191</c:v>
              </c:pt>
              <c:pt idx="10">
                <c:v>270</c:v>
              </c:pt>
              <c:pt idx="11">
                <c:v>286</c:v>
              </c:pt>
              <c:pt idx="12">
                <c:v>259</c:v>
              </c:pt>
              <c:pt idx="13">
                <c:v>61</c:v>
              </c:pt>
              <c:pt idx="14">
                <c:v>26</c:v>
              </c:pt>
              <c:pt idx="15">
                <c:v>127</c:v>
              </c:pt>
              <c:pt idx="16">
                <c:v>169</c:v>
              </c:pt>
              <c:pt idx="17">
                <c:v>0</c:v>
              </c:pt>
              <c:pt idx="18">
                <c:v>0</c:v>
              </c:pt>
              <c:pt idx="19">
                <c:v>40</c:v>
              </c:pt>
              <c:pt idx="20">
                <c:v>0</c:v>
              </c:pt>
              <c:pt idx="21">
                <c:v>6</c:v>
              </c:pt>
              <c:pt idx="22">
                <c:v>47</c:v>
              </c:pt>
              <c:pt idx="23">
                <c:v>11</c:v>
              </c:pt>
              <c:pt idx="24">
                <c:v>12</c:v>
              </c:pt>
              <c:pt idx="25">
                <c:v>57</c:v>
              </c:pt>
              <c:pt idx="26">
                <c:v>0</c:v>
              </c:pt>
              <c:pt idx="27">
                <c:v>28</c:v>
              </c:pt>
              <c:pt idx="28">
                <c:v>39</c:v>
              </c:pt>
              <c:pt idx="29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overlap val="100"/>
        <c:axId val="109420544"/>
        <c:axId val="109422080"/>
      </c:barChart>
      <c:catAx>
        <c:axId val="109420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800"/>
            </a:pPr>
            <a:endParaRPr lang="sk-SK"/>
          </a:p>
        </c:txPr>
        <c:crossAx val="109422080"/>
        <c:crosses val="autoZero"/>
        <c:auto val="1"/>
        <c:lblAlgn val="ctr"/>
        <c:lblOffset val="100"/>
        <c:noMultiLvlLbl val="0"/>
      </c:catAx>
      <c:valAx>
        <c:axId val="10942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420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baseline="0"/>
      </a:pPr>
      <a:endParaRPr lang="sk-SK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percentStacked"/>
        <c:varyColors val="0"/>
        <c:ser>
          <c:idx val="0"/>
          <c:order val="0"/>
          <c:tx>
            <c:v>19-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26584</c:v>
              </c:pt>
              <c:pt idx="1">
                <c:v>26980</c:v>
              </c:pt>
              <c:pt idx="2">
                <c:v>20146</c:v>
              </c:pt>
              <c:pt idx="3">
                <c:v>20939</c:v>
              </c:pt>
              <c:pt idx="4">
                <c:v>20636</c:v>
              </c:pt>
              <c:pt idx="5">
                <c:v>21879</c:v>
              </c:pt>
              <c:pt idx="6">
                <c:v>21464</c:v>
              </c:pt>
              <c:pt idx="7">
                <c:v>20625</c:v>
              </c:pt>
              <c:pt idx="8">
                <c:v>19952</c:v>
              </c:pt>
              <c:pt idx="9">
                <c:v>18535</c:v>
              </c:pt>
            </c:numLit>
          </c:val>
        </c:ser>
        <c:ser>
          <c:idx val="1"/>
          <c:order val="1"/>
          <c:tx>
            <c:v>20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16628</c:v>
              </c:pt>
              <c:pt idx="1">
                <c:v>17805</c:v>
              </c:pt>
              <c:pt idx="2">
                <c:v>20825</c:v>
              </c:pt>
              <c:pt idx="3">
                <c:v>23966</c:v>
              </c:pt>
              <c:pt idx="4">
                <c:v>25785</c:v>
              </c:pt>
              <c:pt idx="5">
                <c:v>26115</c:v>
              </c:pt>
              <c:pt idx="6">
                <c:v>26100</c:v>
              </c:pt>
              <c:pt idx="7">
                <c:v>26290</c:v>
              </c:pt>
              <c:pt idx="8">
                <c:v>26034</c:v>
              </c:pt>
              <c:pt idx="9">
                <c:v>25327</c:v>
              </c:pt>
            </c:numLit>
          </c:val>
        </c:ser>
        <c:ser>
          <c:idx val="2"/>
          <c:order val="2"/>
          <c:tx>
            <c:v>21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16548</c:v>
              </c:pt>
              <c:pt idx="1">
                <c:v>16806</c:v>
              </c:pt>
              <c:pt idx="2">
                <c:v>18078</c:v>
              </c:pt>
              <c:pt idx="3">
                <c:v>20588</c:v>
              </c:pt>
              <c:pt idx="4">
                <c:v>23294</c:v>
              </c:pt>
              <c:pt idx="5">
                <c:v>25308</c:v>
              </c:pt>
              <c:pt idx="6">
                <c:v>25041</c:v>
              </c:pt>
              <c:pt idx="7">
                <c:v>25306</c:v>
              </c:pt>
              <c:pt idx="8">
                <c:v>26076</c:v>
              </c:pt>
              <c:pt idx="9">
                <c:v>25115</c:v>
              </c:pt>
            </c:numLit>
          </c:val>
        </c:ser>
        <c:ser>
          <c:idx val="3"/>
          <c:order val="3"/>
          <c:tx>
            <c:v>22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16018</c:v>
              </c:pt>
              <c:pt idx="1">
                <c:v>15836</c:v>
              </c:pt>
              <c:pt idx="2">
                <c:v>16493</c:v>
              </c:pt>
              <c:pt idx="3">
                <c:v>17484</c:v>
              </c:pt>
              <c:pt idx="4">
                <c:v>19842</c:v>
              </c:pt>
              <c:pt idx="5">
                <c:v>22215</c:v>
              </c:pt>
              <c:pt idx="6">
                <c:v>23841</c:v>
              </c:pt>
              <c:pt idx="7">
                <c:v>23401</c:v>
              </c:pt>
              <c:pt idx="8">
                <c:v>23810</c:v>
              </c:pt>
              <c:pt idx="9">
                <c:v>23674</c:v>
              </c:pt>
            </c:numLit>
          </c:val>
        </c:ser>
        <c:ser>
          <c:idx val="4"/>
          <c:order val="4"/>
          <c:tx>
            <c:v>23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9920</c:v>
              </c:pt>
              <c:pt idx="1">
                <c:v>11390</c:v>
              </c:pt>
              <c:pt idx="2">
                <c:v>11872</c:v>
              </c:pt>
              <c:pt idx="3">
                <c:v>11710</c:v>
              </c:pt>
              <c:pt idx="4">
                <c:v>12743</c:v>
              </c:pt>
              <c:pt idx="5">
                <c:v>14503</c:v>
              </c:pt>
              <c:pt idx="6">
                <c:v>16588</c:v>
              </c:pt>
              <c:pt idx="7">
                <c:v>20947</c:v>
              </c:pt>
              <c:pt idx="8">
                <c:v>20901</c:v>
              </c:pt>
              <c:pt idx="9">
                <c:v>20852</c:v>
              </c:pt>
            </c:numLit>
          </c:val>
        </c:ser>
        <c:ser>
          <c:idx val="5"/>
          <c:order val="5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4793</c:v>
              </c:pt>
              <c:pt idx="1">
                <c:v>5810</c:v>
              </c:pt>
              <c:pt idx="2">
                <c:v>6607</c:v>
              </c:pt>
              <c:pt idx="3">
                <c:v>6544</c:v>
              </c:pt>
              <c:pt idx="4">
                <c:v>6555</c:v>
              </c:pt>
              <c:pt idx="5">
                <c:v>7269</c:v>
              </c:pt>
              <c:pt idx="6">
                <c:v>8561</c:v>
              </c:pt>
              <c:pt idx="7">
                <c:v>10483</c:v>
              </c:pt>
              <c:pt idx="8">
                <c:v>12250</c:v>
              </c:pt>
              <c:pt idx="9">
                <c:v>12134</c:v>
              </c:pt>
            </c:numLit>
          </c:val>
        </c:ser>
        <c:ser>
          <c:idx val="6"/>
          <c:order val="6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2031</c:v>
              </c:pt>
              <c:pt idx="1">
                <c:v>2561</c:v>
              </c:pt>
              <c:pt idx="2">
                <c:v>2849</c:v>
              </c:pt>
              <c:pt idx="3">
                <c:v>3443</c:v>
              </c:pt>
              <c:pt idx="4">
                <c:v>3397</c:v>
              </c:pt>
              <c:pt idx="5">
                <c:v>3374</c:v>
              </c:pt>
              <c:pt idx="6">
                <c:v>3943</c:v>
              </c:pt>
              <c:pt idx="7">
                <c:v>3883</c:v>
              </c:pt>
              <c:pt idx="8">
                <c:v>4542</c:v>
              </c:pt>
              <c:pt idx="9">
                <c:v>5136</c:v>
              </c:pt>
            </c:numLit>
          </c:val>
        </c:ser>
        <c:ser>
          <c:idx val="7"/>
          <c:order val="7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944</c:v>
              </c:pt>
              <c:pt idx="1">
                <c:v>1194</c:v>
              </c:pt>
              <c:pt idx="2">
                <c:v>1306</c:v>
              </c:pt>
              <c:pt idx="3">
                <c:v>1692</c:v>
              </c:pt>
              <c:pt idx="4">
                <c:v>1577</c:v>
              </c:pt>
              <c:pt idx="5">
                <c:v>1687</c:v>
              </c:pt>
              <c:pt idx="6">
                <c:v>1912</c:v>
              </c:pt>
              <c:pt idx="7">
                <c:v>1891</c:v>
              </c:pt>
              <c:pt idx="8">
                <c:v>2075</c:v>
              </c:pt>
              <c:pt idx="9">
                <c:v>2092</c:v>
              </c:pt>
            </c:numLit>
          </c:val>
        </c:ser>
        <c:ser>
          <c:idx val="8"/>
          <c:order val="8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466</c:v>
              </c:pt>
              <c:pt idx="1">
                <c:v>598</c:v>
              </c:pt>
              <c:pt idx="2">
                <c:v>672</c:v>
              </c:pt>
              <c:pt idx="3">
                <c:v>830</c:v>
              </c:pt>
              <c:pt idx="4">
                <c:v>873</c:v>
              </c:pt>
              <c:pt idx="5">
                <c:v>967</c:v>
              </c:pt>
              <c:pt idx="6">
                <c:v>1231</c:v>
              </c:pt>
              <c:pt idx="7">
                <c:v>1104</c:v>
              </c:pt>
              <c:pt idx="8">
                <c:v>1178</c:v>
              </c:pt>
              <c:pt idx="9">
                <c:v>1073</c:v>
              </c:pt>
            </c:numLit>
          </c:val>
        </c:ser>
        <c:ser>
          <c:idx val="9"/>
          <c:order val="9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243</c:v>
              </c:pt>
              <c:pt idx="1">
                <c:v>345</c:v>
              </c:pt>
              <c:pt idx="2">
                <c:v>356</c:v>
              </c:pt>
              <c:pt idx="3">
                <c:v>508</c:v>
              </c:pt>
              <c:pt idx="4">
                <c:v>469</c:v>
              </c:pt>
              <c:pt idx="5">
                <c:v>573</c:v>
              </c:pt>
              <c:pt idx="6">
                <c:v>785</c:v>
              </c:pt>
              <c:pt idx="7">
                <c:v>718</c:v>
              </c:pt>
              <c:pt idx="8">
                <c:v>763</c:v>
              </c:pt>
              <c:pt idx="9">
                <c:v>653</c:v>
              </c:pt>
            </c:numLit>
          </c:val>
        </c:ser>
        <c:ser>
          <c:idx val="10"/>
          <c:order val="10"/>
          <c:tx>
            <c:v>29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154</c:v>
              </c:pt>
              <c:pt idx="1">
                <c:v>195</c:v>
              </c:pt>
              <c:pt idx="2">
                <c:v>196</c:v>
              </c:pt>
              <c:pt idx="3">
                <c:v>283</c:v>
              </c:pt>
              <c:pt idx="4">
                <c:v>276</c:v>
              </c:pt>
              <c:pt idx="5">
                <c:v>314</c:v>
              </c:pt>
              <c:pt idx="6">
                <c:v>543</c:v>
              </c:pt>
              <c:pt idx="7">
                <c:v>592</c:v>
              </c:pt>
              <c:pt idx="8">
                <c:v>598</c:v>
              </c:pt>
              <c:pt idx="9">
                <c:v>464</c:v>
              </c:pt>
            </c:numLit>
          </c:val>
        </c:ser>
        <c:ser>
          <c:idx val="11"/>
          <c:order val="11"/>
          <c:tx>
            <c:v>30-34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218</c:v>
              </c:pt>
              <c:pt idx="1">
                <c:v>325</c:v>
              </c:pt>
              <c:pt idx="2">
                <c:v>342</c:v>
              </c:pt>
              <c:pt idx="3">
                <c:v>405</c:v>
              </c:pt>
              <c:pt idx="4">
                <c:v>462</c:v>
              </c:pt>
              <c:pt idx="5">
                <c:v>602</c:v>
              </c:pt>
              <c:pt idx="6">
                <c:v>1192</c:v>
              </c:pt>
              <c:pt idx="7">
                <c:v>1616</c:v>
              </c:pt>
              <c:pt idx="8">
                <c:v>1993</c:v>
              </c:pt>
              <c:pt idx="9">
                <c:v>1403</c:v>
              </c:pt>
            </c:numLit>
          </c:val>
        </c:ser>
        <c:ser>
          <c:idx val="12"/>
          <c:order val="12"/>
          <c:tx>
            <c:v>35-39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94</c:v>
              </c:pt>
              <c:pt idx="1">
                <c:v>96</c:v>
              </c:pt>
              <c:pt idx="2">
                <c:v>112</c:v>
              </c:pt>
              <c:pt idx="3">
                <c:v>119</c:v>
              </c:pt>
              <c:pt idx="4">
                <c:v>150</c:v>
              </c:pt>
              <c:pt idx="5">
                <c:v>228</c:v>
              </c:pt>
              <c:pt idx="6">
                <c:v>623</c:v>
              </c:pt>
              <c:pt idx="7">
                <c:v>916</c:v>
              </c:pt>
              <c:pt idx="8">
                <c:v>1125</c:v>
              </c:pt>
              <c:pt idx="9">
                <c:v>812</c:v>
              </c:pt>
            </c:numLit>
          </c:val>
        </c:ser>
        <c:ser>
          <c:idx val="13"/>
          <c:order val="13"/>
          <c:tx>
            <c:v>40+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</c:v>
              </c:pt>
              <c:pt idx="1">
                <c:v>53</c:v>
              </c:pt>
              <c:pt idx="2">
                <c:v>75</c:v>
              </c:pt>
              <c:pt idx="3">
                <c:v>97</c:v>
              </c:pt>
              <c:pt idx="4">
                <c:v>136</c:v>
              </c:pt>
              <c:pt idx="5">
                <c:v>179</c:v>
              </c:pt>
              <c:pt idx="6">
                <c:v>675</c:v>
              </c:pt>
              <c:pt idx="7">
                <c:v>1095</c:v>
              </c:pt>
              <c:pt idx="8">
                <c:v>1150</c:v>
              </c:pt>
              <c:pt idx="9">
                <c:v>778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938944"/>
        <c:axId val="109957120"/>
      </c:areaChart>
      <c:catAx>
        <c:axId val="10993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957120"/>
        <c:crosses val="autoZero"/>
        <c:auto val="1"/>
        <c:lblAlgn val="ctr"/>
        <c:lblOffset val="100"/>
        <c:noMultiLvlLbl val="0"/>
      </c:catAx>
      <c:valAx>
        <c:axId val="10995712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9389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057048553385586"/>
          <c:y val="2.3872970235567031E-2"/>
          <c:w val="9.9544123109901503E-2"/>
          <c:h val="0.95225449515905969"/>
        </c:manualLayout>
      </c:layout>
      <c:overlay val="0"/>
      <c:txPr>
        <a:bodyPr/>
        <a:lstStyle/>
        <a:p>
          <a:pPr>
            <a:defRPr sz="7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989063867016665E-2"/>
          <c:y val="5.667855550420979E-2"/>
          <c:w val="0.76849540682414819"/>
          <c:h val="0.83335612106084977"/>
        </c:manualLayout>
      </c:layout>
      <c:areaChart>
        <c:grouping val="stacked"/>
        <c:varyColors val="0"/>
        <c:ser>
          <c:idx val="0"/>
          <c:order val="0"/>
          <c:tx>
            <c:v>19-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4394</c:v>
              </c:pt>
              <c:pt idx="1">
                <c:v>3079</c:v>
              </c:pt>
              <c:pt idx="2">
                <c:v>1495</c:v>
              </c:pt>
              <c:pt idx="3">
                <c:v>1537</c:v>
              </c:pt>
              <c:pt idx="4">
                <c:v>1507</c:v>
              </c:pt>
              <c:pt idx="5">
                <c:v>1429</c:v>
              </c:pt>
              <c:pt idx="6">
                <c:v>1350</c:v>
              </c:pt>
              <c:pt idx="7">
                <c:v>1944</c:v>
              </c:pt>
              <c:pt idx="8">
                <c:v>1162</c:v>
              </c:pt>
              <c:pt idx="9">
                <c:v>1192</c:v>
              </c:pt>
            </c:numLit>
          </c:val>
        </c:ser>
        <c:ser>
          <c:idx val="1"/>
          <c:order val="1"/>
          <c:tx>
            <c:v>20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3560</c:v>
              </c:pt>
              <c:pt idx="1">
                <c:v>3058</c:v>
              </c:pt>
              <c:pt idx="2">
                <c:v>3096</c:v>
              </c:pt>
              <c:pt idx="3">
                <c:v>2980</c:v>
              </c:pt>
              <c:pt idx="4">
                <c:v>2988</c:v>
              </c:pt>
              <c:pt idx="5">
                <c:v>3092</c:v>
              </c:pt>
              <c:pt idx="6">
                <c:v>2619</c:v>
              </c:pt>
              <c:pt idx="7">
                <c:v>3106</c:v>
              </c:pt>
              <c:pt idx="8">
                <c:v>2485</c:v>
              </c:pt>
              <c:pt idx="9">
                <c:v>2340</c:v>
              </c:pt>
            </c:numLit>
          </c:val>
        </c:ser>
        <c:ser>
          <c:idx val="2"/>
          <c:order val="2"/>
          <c:tx>
            <c:v>21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3787</c:v>
              </c:pt>
              <c:pt idx="1">
                <c:v>3371</c:v>
              </c:pt>
              <c:pt idx="2">
                <c:v>3546</c:v>
              </c:pt>
              <c:pt idx="3">
                <c:v>3442</c:v>
              </c:pt>
              <c:pt idx="4">
                <c:v>3846</c:v>
              </c:pt>
              <c:pt idx="5">
                <c:v>4191</c:v>
              </c:pt>
              <c:pt idx="6">
                <c:v>3767</c:v>
              </c:pt>
              <c:pt idx="7">
                <c:v>3868</c:v>
              </c:pt>
              <c:pt idx="8">
                <c:v>3393</c:v>
              </c:pt>
              <c:pt idx="9">
                <c:v>3292</c:v>
              </c:pt>
            </c:numLit>
          </c:val>
        </c:ser>
        <c:ser>
          <c:idx val="3"/>
          <c:order val="3"/>
          <c:tx>
            <c:v>22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3985</c:v>
              </c:pt>
              <c:pt idx="1">
                <c:v>3687</c:v>
              </c:pt>
              <c:pt idx="2">
                <c:v>3888</c:v>
              </c:pt>
              <c:pt idx="3">
                <c:v>4127</c:v>
              </c:pt>
              <c:pt idx="4">
                <c:v>4342</c:v>
              </c:pt>
              <c:pt idx="5">
                <c:v>4625</c:v>
              </c:pt>
              <c:pt idx="6">
                <c:v>4410</c:v>
              </c:pt>
              <c:pt idx="7">
                <c:v>4544</c:v>
              </c:pt>
              <c:pt idx="8">
                <c:v>3999</c:v>
              </c:pt>
              <c:pt idx="9">
                <c:v>3987</c:v>
              </c:pt>
            </c:numLit>
          </c:val>
        </c:ser>
        <c:ser>
          <c:idx val="4"/>
          <c:order val="4"/>
          <c:tx>
            <c:v>23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3574</c:v>
              </c:pt>
              <c:pt idx="1">
                <c:v>3475</c:v>
              </c:pt>
              <c:pt idx="2">
                <c:v>3879</c:v>
              </c:pt>
              <c:pt idx="3">
                <c:v>4181</c:v>
              </c:pt>
              <c:pt idx="4">
                <c:v>4350</c:v>
              </c:pt>
              <c:pt idx="5">
                <c:v>4667</c:v>
              </c:pt>
              <c:pt idx="6">
                <c:v>4797</c:v>
              </c:pt>
              <c:pt idx="7">
                <c:v>4948</c:v>
              </c:pt>
              <c:pt idx="8">
                <c:v>4825</c:v>
              </c:pt>
              <c:pt idx="9">
                <c:v>4388</c:v>
              </c:pt>
            </c:numLit>
          </c:val>
        </c:ser>
        <c:ser>
          <c:idx val="5"/>
          <c:order val="5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2651</c:v>
              </c:pt>
              <c:pt idx="1">
                <c:v>3218</c:v>
              </c:pt>
              <c:pt idx="2">
                <c:v>3495</c:v>
              </c:pt>
              <c:pt idx="3">
                <c:v>3802</c:v>
              </c:pt>
              <c:pt idx="4">
                <c:v>4195</c:v>
              </c:pt>
              <c:pt idx="5">
                <c:v>4454</c:v>
              </c:pt>
              <c:pt idx="6">
                <c:v>4402</c:v>
              </c:pt>
              <c:pt idx="7">
                <c:v>4647</c:v>
              </c:pt>
              <c:pt idx="8">
                <c:v>4676</c:v>
              </c:pt>
              <c:pt idx="9">
                <c:v>4595</c:v>
              </c:pt>
            </c:numLit>
          </c:val>
        </c:ser>
        <c:ser>
          <c:idx val="6"/>
          <c:order val="6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2467</c:v>
              </c:pt>
              <c:pt idx="1">
                <c:v>2500</c:v>
              </c:pt>
              <c:pt idx="2">
                <c:v>3368</c:v>
              </c:pt>
              <c:pt idx="3">
                <c:v>3524</c:v>
              </c:pt>
              <c:pt idx="4">
                <c:v>3811</c:v>
              </c:pt>
              <c:pt idx="5">
                <c:v>4181</c:v>
              </c:pt>
              <c:pt idx="6">
                <c:v>4074</c:v>
              </c:pt>
              <c:pt idx="7">
                <c:v>4121</c:v>
              </c:pt>
              <c:pt idx="8">
                <c:v>3931</c:v>
              </c:pt>
              <c:pt idx="9">
                <c:v>3825</c:v>
              </c:pt>
            </c:numLit>
          </c:val>
        </c:ser>
        <c:ser>
          <c:idx val="7"/>
          <c:order val="7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2159</c:v>
              </c:pt>
              <c:pt idx="1">
                <c:v>2209</c:v>
              </c:pt>
              <c:pt idx="2">
                <c:v>2895</c:v>
              </c:pt>
              <c:pt idx="3">
                <c:v>3178</c:v>
              </c:pt>
              <c:pt idx="4">
                <c:v>3559</c:v>
              </c:pt>
              <c:pt idx="5">
                <c:v>3992</c:v>
              </c:pt>
              <c:pt idx="6">
                <c:v>3911</c:v>
              </c:pt>
              <c:pt idx="7">
                <c:v>4012</c:v>
              </c:pt>
              <c:pt idx="8">
                <c:v>3536</c:v>
              </c:pt>
              <c:pt idx="9">
                <c:v>3354</c:v>
              </c:pt>
            </c:numLit>
          </c:val>
        </c:ser>
        <c:ser>
          <c:idx val="8"/>
          <c:order val="8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1700</c:v>
              </c:pt>
              <c:pt idx="1">
                <c:v>1922</c:v>
              </c:pt>
              <c:pt idx="2">
                <c:v>2517</c:v>
              </c:pt>
              <c:pt idx="3">
                <c:v>2991</c:v>
              </c:pt>
              <c:pt idx="4">
                <c:v>3337</c:v>
              </c:pt>
              <c:pt idx="5">
                <c:v>3903</c:v>
              </c:pt>
              <c:pt idx="6">
                <c:v>3752</c:v>
              </c:pt>
              <c:pt idx="7">
                <c:v>3702</c:v>
              </c:pt>
              <c:pt idx="8">
                <c:v>3367</c:v>
              </c:pt>
              <c:pt idx="9">
                <c:v>2928</c:v>
              </c:pt>
            </c:numLit>
          </c:val>
        </c:ser>
        <c:ser>
          <c:idx val="9"/>
          <c:order val="9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1532</c:v>
              </c:pt>
              <c:pt idx="1">
                <c:v>1797</c:v>
              </c:pt>
              <c:pt idx="2">
                <c:v>2270</c:v>
              </c:pt>
              <c:pt idx="3">
                <c:v>2602</c:v>
              </c:pt>
              <c:pt idx="4">
                <c:v>3076</c:v>
              </c:pt>
              <c:pt idx="5">
                <c:v>3621</c:v>
              </c:pt>
              <c:pt idx="6">
                <c:v>3712</c:v>
              </c:pt>
              <c:pt idx="7">
                <c:v>3537</c:v>
              </c:pt>
              <c:pt idx="8">
                <c:v>3158</c:v>
              </c:pt>
              <c:pt idx="9">
                <c:v>2771</c:v>
              </c:pt>
            </c:numLit>
          </c:val>
        </c:ser>
        <c:ser>
          <c:idx val="10"/>
          <c:order val="10"/>
          <c:tx>
            <c:v>29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1496</c:v>
              </c:pt>
              <c:pt idx="1">
                <c:v>1696</c:v>
              </c:pt>
              <c:pt idx="2">
                <c:v>2117</c:v>
              </c:pt>
              <c:pt idx="3">
                <c:v>2489</c:v>
              </c:pt>
              <c:pt idx="4">
                <c:v>2922</c:v>
              </c:pt>
              <c:pt idx="5">
                <c:v>3399</c:v>
              </c:pt>
              <c:pt idx="6">
                <c:v>3443</c:v>
              </c:pt>
              <c:pt idx="7">
                <c:v>3682</c:v>
              </c:pt>
              <c:pt idx="8">
                <c:v>2968</c:v>
              </c:pt>
              <c:pt idx="9">
                <c:v>2660</c:v>
              </c:pt>
            </c:numLit>
          </c:val>
        </c:ser>
        <c:ser>
          <c:idx val="11"/>
          <c:order val="11"/>
          <c:tx>
            <c:v>30-34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3376</c:v>
              </c:pt>
              <c:pt idx="1">
                <c:v>4074</c:v>
              </c:pt>
              <c:pt idx="2">
                <c:v>5577</c:v>
              </c:pt>
              <c:pt idx="3">
                <c:v>7617</c:v>
              </c:pt>
              <c:pt idx="4">
                <c:v>10544</c:v>
              </c:pt>
              <c:pt idx="5">
                <c:v>12888</c:v>
              </c:pt>
              <c:pt idx="6">
                <c:v>14578</c:v>
              </c:pt>
              <c:pt idx="7">
                <c:v>13510</c:v>
              </c:pt>
              <c:pt idx="8">
                <c:v>14031</c:v>
              </c:pt>
              <c:pt idx="9">
                <c:v>12129</c:v>
              </c:pt>
            </c:numLit>
          </c:val>
        </c:ser>
        <c:ser>
          <c:idx val="12"/>
          <c:order val="12"/>
          <c:tx>
            <c:v>35-39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2316</c:v>
              </c:pt>
              <c:pt idx="1">
                <c:v>2720</c:v>
              </c:pt>
              <c:pt idx="2">
                <c:v>3539</c:v>
              </c:pt>
              <c:pt idx="3">
                <c:v>4915</c:v>
              </c:pt>
              <c:pt idx="4">
                <c:v>6641</c:v>
              </c:pt>
              <c:pt idx="5">
                <c:v>8480</c:v>
              </c:pt>
              <c:pt idx="6">
                <c:v>10329</c:v>
              </c:pt>
              <c:pt idx="7">
                <c:v>9855</c:v>
              </c:pt>
              <c:pt idx="8">
                <c:v>10995</c:v>
              </c:pt>
              <c:pt idx="9">
                <c:v>9832</c:v>
              </c:pt>
            </c:numLit>
          </c:val>
        </c:ser>
        <c:ser>
          <c:idx val="13"/>
          <c:order val="13"/>
          <c:tx>
            <c:v>40+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1983</c:v>
              </c:pt>
              <c:pt idx="1">
                <c:v>2236</c:v>
              </c:pt>
              <c:pt idx="2">
                <c:v>3510</c:v>
              </c:pt>
              <c:pt idx="3">
                <c:v>5633</c:v>
              </c:pt>
              <c:pt idx="4">
                <c:v>8042</c:v>
              </c:pt>
              <c:pt idx="5">
                <c:v>10635</c:v>
              </c:pt>
              <c:pt idx="6">
                <c:v>12051</c:v>
              </c:pt>
              <c:pt idx="7">
                <c:v>11273</c:v>
              </c:pt>
              <c:pt idx="8">
                <c:v>9900</c:v>
              </c:pt>
              <c:pt idx="9">
                <c:v>9888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12288"/>
        <c:axId val="110013824"/>
      </c:areaChart>
      <c:catAx>
        <c:axId val="11001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013824"/>
        <c:crosses val="autoZero"/>
        <c:auto val="1"/>
        <c:lblAlgn val="ctr"/>
        <c:lblOffset val="100"/>
        <c:noMultiLvlLbl val="0"/>
      </c:catAx>
      <c:valAx>
        <c:axId val="110013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012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990147891221328"/>
          <c:y val="2.2061893426112488E-2"/>
          <c:w val="8.343212839522425E-2"/>
          <c:h val="0.92496001953244222"/>
        </c:manualLayout>
      </c:layout>
      <c:overlay val="0"/>
      <c:txPr>
        <a:bodyPr/>
        <a:lstStyle/>
        <a:p>
          <a:pPr>
            <a:defRPr sz="7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4989063867016665E-2"/>
          <c:y val="5.667855550420979E-2"/>
          <c:w val="0.76849540682414819"/>
          <c:h val="0.83335612106084977"/>
        </c:manualLayout>
      </c:layout>
      <c:areaChart>
        <c:grouping val="percentStacked"/>
        <c:varyColors val="0"/>
        <c:ser>
          <c:idx val="0"/>
          <c:order val="0"/>
          <c:tx>
            <c:v>19-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4394</c:v>
              </c:pt>
              <c:pt idx="1">
                <c:v>3079</c:v>
              </c:pt>
              <c:pt idx="2">
                <c:v>1495</c:v>
              </c:pt>
              <c:pt idx="3">
                <c:v>1537</c:v>
              </c:pt>
              <c:pt idx="4">
                <c:v>1507</c:v>
              </c:pt>
              <c:pt idx="5">
                <c:v>1429</c:v>
              </c:pt>
              <c:pt idx="6">
                <c:v>1350</c:v>
              </c:pt>
              <c:pt idx="7">
                <c:v>1944</c:v>
              </c:pt>
              <c:pt idx="8">
                <c:v>1162</c:v>
              </c:pt>
              <c:pt idx="9">
                <c:v>1192</c:v>
              </c:pt>
            </c:numLit>
          </c:val>
        </c:ser>
        <c:ser>
          <c:idx val="1"/>
          <c:order val="1"/>
          <c:tx>
            <c:v>20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3560</c:v>
              </c:pt>
              <c:pt idx="1">
                <c:v>3058</c:v>
              </c:pt>
              <c:pt idx="2">
                <c:v>3096</c:v>
              </c:pt>
              <c:pt idx="3">
                <c:v>2980</c:v>
              </c:pt>
              <c:pt idx="4">
                <c:v>2988</c:v>
              </c:pt>
              <c:pt idx="5">
                <c:v>3092</c:v>
              </c:pt>
              <c:pt idx="6">
                <c:v>2619</c:v>
              </c:pt>
              <c:pt idx="7">
                <c:v>3106</c:v>
              </c:pt>
              <c:pt idx="8">
                <c:v>2485</c:v>
              </c:pt>
              <c:pt idx="9">
                <c:v>2340</c:v>
              </c:pt>
            </c:numLit>
          </c:val>
        </c:ser>
        <c:ser>
          <c:idx val="2"/>
          <c:order val="2"/>
          <c:tx>
            <c:v>21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3787</c:v>
              </c:pt>
              <c:pt idx="1">
                <c:v>3371</c:v>
              </c:pt>
              <c:pt idx="2">
                <c:v>3546</c:v>
              </c:pt>
              <c:pt idx="3">
                <c:v>3442</c:v>
              </c:pt>
              <c:pt idx="4">
                <c:v>3846</c:v>
              </c:pt>
              <c:pt idx="5">
                <c:v>4191</c:v>
              </c:pt>
              <c:pt idx="6">
                <c:v>3767</c:v>
              </c:pt>
              <c:pt idx="7">
                <c:v>3868</c:v>
              </c:pt>
              <c:pt idx="8">
                <c:v>3393</c:v>
              </c:pt>
              <c:pt idx="9">
                <c:v>3292</c:v>
              </c:pt>
            </c:numLit>
          </c:val>
        </c:ser>
        <c:ser>
          <c:idx val="3"/>
          <c:order val="3"/>
          <c:tx>
            <c:v>22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3985</c:v>
              </c:pt>
              <c:pt idx="1">
                <c:v>3687</c:v>
              </c:pt>
              <c:pt idx="2">
                <c:v>3888</c:v>
              </c:pt>
              <c:pt idx="3">
                <c:v>4127</c:v>
              </c:pt>
              <c:pt idx="4">
                <c:v>4342</c:v>
              </c:pt>
              <c:pt idx="5">
                <c:v>4625</c:v>
              </c:pt>
              <c:pt idx="6">
                <c:v>4410</c:v>
              </c:pt>
              <c:pt idx="7">
                <c:v>4544</c:v>
              </c:pt>
              <c:pt idx="8">
                <c:v>3999</c:v>
              </c:pt>
              <c:pt idx="9">
                <c:v>3987</c:v>
              </c:pt>
            </c:numLit>
          </c:val>
        </c:ser>
        <c:ser>
          <c:idx val="4"/>
          <c:order val="4"/>
          <c:tx>
            <c:v>23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3574</c:v>
              </c:pt>
              <c:pt idx="1">
                <c:v>3475</c:v>
              </c:pt>
              <c:pt idx="2">
                <c:v>3879</c:v>
              </c:pt>
              <c:pt idx="3">
                <c:v>4181</c:v>
              </c:pt>
              <c:pt idx="4">
                <c:v>4350</c:v>
              </c:pt>
              <c:pt idx="5">
                <c:v>4667</c:v>
              </c:pt>
              <c:pt idx="6">
                <c:v>4797</c:v>
              </c:pt>
              <c:pt idx="7">
                <c:v>4948</c:v>
              </c:pt>
              <c:pt idx="8">
                <c:v>4825</c:v>
              </c:pt>
              <c:pt idx="9">
                <c:v>4388</c:v>
              </c:pt>
            </c:numLit>
          </c:val>
        </c:ser>
        <c:ser>
          <c:idx val="5"/>
          <c:order val="5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2651</c:v>
              </c:pt>
              <c:pt idx="1">
                <c:v>3218</c:v>
              </c:pt>
              <c:pt idx="2">
                <c:v>3495</c:v>
              </c:pt>
              <c:pt idx="3">
                <c:v>3802</c:v>
              </c:pt>
              <c:pt idx="4">
                <c:v>4195</c:v>
              </c:pt>
              <c:pt idx="5">
                <c:v>4454</c:v>
              </c:pt>
              <c:pt idx="6">
                <c:v>4402</c:v>
              </c:pt>
              <c:pt idx="7">
                <c:v>4647</c:v>
              </c:pt>
              <c:pt idx="8">
                <c:v>4676</c:v>
              </c:pt>
              <c:pt idx="9">
                <c:v>4595</c:v>
              </c:pt>
            </c:numLit>
          </c:val>
        </c:ser>
        <c:ser>
          <c:idx val="6"/>
          <c:order val="6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2467</c:v>
              </c:pt>
              <c:pt idx="1">
                <c:v>2500</c:v>
              </c:pt>
              <c:pt idx="2">
                <c:v>3368</c:v>
              </c:pt>
              <c:pt idx="3">
                <c:v>3524</c:v>
              </c:pt>
              <c:pt idx="4">
                <c:v>3811</c:v>
              </c:pt>
              <c:pt idx="5">
                <c:v>4181</c:v>
              </c:pt>
              <c:pt idx="6">
                <c:v>4074</c:v>
              </c:pt>
              <c:pt idx="7">
                <c:v>4121</c:v>
              </c:pt>
              <c:pt idx="8">
                <c:v>3931</c:v>
              </c:pt>
              <c:pt idx="9">
                <c:v>3825</c:v>
              </c:pt>
            </c:numLit>
          </c:val>
        </c:ser>
        <c:ser>
          <c:idx val="7"/>
          <c:order val="7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2159</c:v>
              </c:pt>
              <c:pt idx="1">
                <c:v>2209</c:v>
              </c:pt>
              <c:pt idx="2">
                <c:v>2895</c:v>
              </c:pt>
              <c:pt idx="3">
                <c:v>3178</c:v>
              </c:pt>
              <c:pt idx="4">
                <c:v>3559</c:v>
              </c:pt>
              <c:pt idx="5">
                <c:v>3992</c:v>
              </c:pt>
              <c:pt idx="6">
                <c:v>3911</c:v>
              </c:pt>
              <c:pt idx="7">
                <c:v>4012</c:v>
              </c:pt>
              <c:pt idx="8">
                <c:v>3536</c:v>
              </c:pt>
              <c:pt idx="9">
                <c:v>3354</c:v>
              </c:pt>
            </c:numLit>
          </c:val>
        </c:ser>
        <c:ser>
          <c:idx val="8"/>
          <c:order val="8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1700</c:v>
              </c:pt>
              <c:pt idx="1">
                <c:v>1922</c:v>
              </c:pt>
              <c:pt idx="2">
                <c:v>2517</c:v>
              </c:pt>
              <c:pt idx="3">
                <c:v>2991</c:v>
              </c:pt>
              <c:pt idx="4">
                <c:v>3337</c:v>
              </c:pt>
              <c:pt idx="5">
                <c:v>3903</c:v>
              </c:pt>
              <c:pt idx="6">
                <c:v>3752</c:v>
              </c:pt>
              <c:pt idx="7">
                <c:v>3702</c:v>
              </c:pt>
              <c:pt idx="8">
                <c:v>3367</c:v>
              </c:pt>
              <c:pt idx="9">
                <c:v>2928</c:v>
              </c:pt>
            </c:numLit>
          </c:val>
        </c:ser>
        <c:ser>
          <c:idx val="9"/>
          <c:order val="9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1532</c:v>
              </c:pt>
              <c:pt idx="1">
                <c:v>1797</c:v>
              </c:pt>
              <c:pt idx="2">
                <c:v>2270</c:v>
              </c:pt>
              <c:pt idx="3">
                <c:v>2602</c:v>
              </c:pt>
              <c:pt idx="4">
                <c:v>3076</c:v>
              </c:pt>
              <c:pt idx="5">
                <c:v>3621</c:v>
              </c:pt>
              <c:pt idx="6">
                <c:v>3712</c:v>
              </c:pt>
              <c:pt idx="7">
                <c:v>3537</c:v>
              </c:pt>
              <c:pt idx="8">
                <c:v>3158</c:v>
              </c:pt>
              <c:pt idx="9">
                <c:v>2771</c:v>
              </c:pt>
            </c:numLit>
          </c:val>
        </c:ser>
        <c:ser>
          <c:idx val="10"/>
          <c:order val="10"/>
          <c:tx>
            <c:v>29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1496</c:v>
              </c:pt>
              <c:pt idx="1">
                <c:v>1696</c:v>
              </c:pt>
              <c:pt idx="2">
                <c:v>2117</c:v>
              </c:pt>
              <c:pt idx="3">
                <c:v>2489</c:v>
              </c:pt>
              <c:pt idx="4">
                <c:v>2922</c:v>
              </c:pt>
              <c:pt idx="5">
                <c:v>3399</c:v>
              </c:pt>
              <c:pt idx="6">
                <c:v>3443</c:v>
              </c:pt>
              <c:pt idx="7">
                <c:v>3682</c:v>
              </c:pt>
              <c:pt idx="8">
                <c:v>2968</c:v>
              </c:pt>
              <c:pt idx="9">
                <c:v>2660</c:v>
              </c:pt>
            </c:numLit>
          </c:val>
        </c:ser>
        <c:ser>
          <c:idx val="11"/>
          <c:order val="11"/>
          <c:tx>
            <c:v>30-34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3376</c:v>
              </c:pt>
              <c:pt idx="1">
                <c:v>4074</c:v>
              </c:pt>
              <c:pt idx="2">
                <c:v>5577</c:v>
              </c:pt>
              <c:pt idx="3">
                <c:v>7617</c:v>
              </c:pt>
              <c:pt idx="4">
                <c:v>10544</c:v>
              </c:pt>
              <c:pt idx="5">
                <c:v>12888</c:v>
              </c:pt>
              <c:pt idx="6">
                <c:v>14578</c:v>
              </c:pt>
              <c:pt idx="7">
                <c:v>13510</c:v>
              </c:pt>
              <c:pt idx="8">
                <c:v>14031</c:v>
              </c:pt>
              <c:pt idx="9">
                <c:v>12129</c:v>
              </c:pt>
            </c:numLit>
          </c:val>
        </c:ser>
        <c:ser>
          <c:idx val="12"/>
          <c:order val="12"/>
          <c:tx>
            <c:v>35-39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2316</c:v>
              </c:pt>
              <c:pt idx="1">
                <c:v>2720</c:v>
              </c:pt>
              <c:pt idx="2">
                <c:v>3539</c:v>
              </c:pt>
              <c:pt idx="3">
                <c:v>4915</c:v>
              </c:pt>
              <c:pt idx="4">
                <c:v>6641</c:v>
              </c:pt>
              <c:pt idx="5">
                <c:v>8480</c:v>
              </c:pt>
              <c:pt idx="6">
                <c:v>10329</c:v>
              </c:pt>
              <c:pt idx="7">
                <c:v>9855</c:v>
              </c:pt>
              <c:pt idx="8">
                <c:v>10995</c:v>
              </c:pt>
              <c:pt idx="9">
                <c:v>9832</c:v>
              </c:pt>
            </c:numLit>
          </c:val>
        </c:ser>
        <c:ser>
          <c:idx val="13"/>
          <c:order val="13"/>
          <c:tx>
            <c:v>40+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1983</c:v>
              </c:pt>
              <c:pt idx="1">
                <c:v>2236</c:v>
              </c:pt>
              <c:pt idx="2">
                <c:v>3510</c:v>
              </c:pt>
              <c:pt idx="3">
                <c:v>5633</c:v>
              </c:pt>
              <c:pt idx="4">
                <c:v>8042</c:v>
              </c:pt>
              <c:pt idx="5">
                <c:v>10635</c:v>
              </c:pt>
              <c:pt idx="6">
                <c:v>12051</c:v>
              </c:pt>
              <c:pt idx="7">
                <c:v>11273</c:v>
              </c:pt>
              <c:pt idx="8">
                <c:v>9900</c:v>
              </c:pt>
              <c:pt idx="9">
                <c:v>9888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73344"/>
        <c:axId val="110074880"/>
      </c:areaChart>
      <c:catAx>
        <c:axId val="11007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074880"/>
        <c:crosses val="autoZero"/>
        <c:auto val="1"/>
        <c:lblAlgn val="ctr"/>
        <c:lblOffset val="100"/>
        <c:noMultiLvlLbl val="0"/>
      </c:catAx>
      <c:valAx>
        <c:axId val="11007488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073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990150107641043"/>
          <c:y val="2.2061893426112488E-2"/>
          <c:w val="9.2001769441741099E-2"/>
          <c:h val="0.85623349406905569"/>
        </c:manualLayout>
      </c:layout>
      <c:overlay val="0"/>
      <c:txPr>
        <a:bodyPr/>
        <a:lstStyle/>
        <a:p>
          <a:pPr>
            <a:defRPr sz="7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v>19-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26584</c:v>
              </c:pt>
              <c:pt idx="1">
                <c:v>26980</c:v>
              </c:pt>
              <c:pt idx="2">
                <c:v>20146</c:v>
              </c:pt>
              <c:pt idx="3">
                <c:v>20939</c:v>
              </c:pt>
              <c:pt idx="4">
                <c:v>20636</c:v>
              </c:pt>
              <c:pt idx="5">
                <c:v>21879</c:v>
              </c:pt>
              <c:pt idx="6">
                <c:v>21464</c:v>
              </c:pt>
              <c:pt idx="7">
                <c:v>20625</c:v>
              </c:pt>
              <c:pt idx="8">
                <c:v>19952</c:v>
              </c:pt>
              <c:pt idx="9">
                <c:v>18535</c:v>
              </c:pt>
            </c:numLit>
          </c:val>
        </c:ser>
        <c:ser>
          <c:idx val="1"/>
          <c:order val="1"/>
          <c:tx>
            <c:v>20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16628</c:v>
              </c:pt>
              <c:pt idx="1">
                <c:v>17805</c:v>
              </c:pt>
              <c:pt idx="2">
                <c:v>20825</c:v>
              </c:pt>
              <c:pt idx="3">
                <c:v>23966</c:v>
              </c:pt>
              <c:pt idx="4">
                <c:v>25785</c:v>
              </c:pt>
              <c:pt idx="5">
                <c:v>26115</c:v>
              </c:pt>
              <c:pt idx="6">
                <c:v>26100</c:v>
              </c:pt>
              <c:pt idx="7">
                <c:v>26290</c:v>
              </c:pt>
              <c:pt idx="8">
                <c:v>26034</c:v>
              </c:pt>
              <c:pt idx="9">
                <c:v>25327</c:v>
              </c:pt>
            </c:numLit>
          </c:val>
        </c:ser>
        <c:ser>
          <c:idx val="2"/>
          <c:order val="2"/>
          <c:tx>
            <c:v>21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16548</c:v>
              </c:pt>
              <c:pt idx="1">
                <c:v>16806</c:v>
              </c:pt>
              <c:pt idx="2">
                <c:v>18078</c:v>
              </c:pt>
              <c:pt idx="3">
                <c:v>20588</c:v>
              </c:pt>
              <c:pt idx="4">
                <c:v>23294</c:v>
              </c:pt>
              <c:pt idx="5">
                <c:v>25308</c:v>
              </c:pt>
              <c:pt idx="6">
                <c:v>25041</c:v>
              </c:pt>
              <c:pt idx="7">
                <c:v>25306</c:v>
              </c:pt>
              <c:pt idx="8">
                <c:v>26076</c:v>
              </c:pt>
              <c:pt idx="9">
                <c:v>25115</c:v>
              </c:pt>
            </c:numLit>
          </c:val>
        </c:ser>
        <c:ser>
          <c:idx val="3"/>
          <c:order val="3"/>
          <c:tx>
            <c:v>22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16018</c:v>
              </c:pt>
              <c:pt idx="1">
                <c:v>15836</c:v>
              </c:pt>
              <c:pt idx="2">
                <c:v>16493</c:v>
              </c:pt>
              <c:pt idx="3">
                <c:v>17484</c:v>
              </c:pt>
              <c:pt idx="4">
                <c:v>19842</c:v>
              </c:pt>
              <c:pt idx="5">
                <c:v>22215</c:v>
              </c:pt>
              <c:pt idx="6">
                <c:v>23841</c:v>
              </c:pt>
              <c:pt idx="7">
                <c:v>23401</c:v>
              </c:pt>
              <c:pt idx="8">
                <c:v>23810</c:v>
              </c:pt>
              <c:pt idx="9">
                <c:v>23674</c:v>
              </c:pt>
            </c:numLit>
          </c:val>
        </c:ser>
        <c:ser>
          <c:idx val="4"/>
          <c:order val="4"/>
          <c:tx>
            <c:v>23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9920</c:v>
              </c:pt>
              <c:pt idx="1">
                <c:v>11390</c:v>
              </c:pt>
              <c:pt idx="2">
                <c:v>11872</c:v>
              </c:pt>
              <c:pt idx="3">
                <c:v>11710</c:v>
              </c:pt>
              <c:pt idx="4">
                <c:v>12743</c:v>
              </c:pt>
              <c:pt idx="5">
                <c:v>14503</c:v>
              </c:pt>
              <c:pt idx="6">
                <c:v>16588</c:v>
              </c:pt>
              <c:pt idx="7">
                <c:v>20947</c:v>
              </c:pt>
              <c:pt idx="8">
                <c:v>20901</c:v>
              </c:pt>
              <c:pt idx="9">
                <c:v>20852</c:v>
              </c:pt>
            </c:numLit>
          </c:val>
        </c:ser>
        <c:ser>
          <c:idx val="5"/>
          <c:order val="5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4793</c:v>
              </c:pt>
              <c:pt idx="1">
                <c:v>5810</c:v>
              </c:pt>
              <c:pt idx="2">
                <c:v>6607</c:v>
              </c:pt>
              <c:pt idx="3">
                <c:v>6544</c:v>
              </c:pt>
              <c:pt idx="4">
                <c:v>6555</c:v>
              </c:pt>
              <c:pt idx="5">
                <c:v>7269</c:v>
              </c:pt>
              <c:pt idx="6">
                <c:v>8561</c:v>
              </c:pt>
              <c:pt idx="7">
                <c:v>10483</c:v>
              </c:pt>
              <c:pt idx="8">
                <c:v>12250</c:v>
              </c:pt>
              <c:pt idx="9">
                <c:v>12134</c:v>
              </c:pt>
            </c:numLit>
          </c:val>
        </c:ser>
        <c:ser>
          <c:idx val="6"/>
          <c:order val="6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2031</c:v>
              </c:pt>
              <c:pt idx="1">
                <c:v>2561</c:v>
              </c:pt>
              <c:pt idx="2">
                <c:v>2849</c:v>
              </c:pt>
              <c:pt idx="3">
                <c:v>3443</c:v>
              </c:pt>
              <c:pt idx="4">
                <c:v>3397</c:v>
              </c:pt>
              <c:pt idx="5">
                <c:v>3374</c:v>
              </c:pt>
              <c:pt idx="6">
                <c:v>3943</c:v>
              </c:pt>
              <c:pt idx="7">
                <c:v>3883</c:v>
              </c:pt>
              <c:pt idx="8">
                <c:v>4542</c:v>
              </c:pt>
              <c:pt idx="9">
                <c:v>5136</c:v>
              </c:pt>
            </c:numLit>
          </c:val>
        </c:ser>
        <c:ser>
          <c:idx val="7"/>
          <c:order val="7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944</c:v>
              </c:pt>
              <c:pt idx="1">
                <c:v>1194</c:v>
              </c:pt>
              <c:pt idx="2">
                <c:v>1306</c:v>
              </c:pt>
              <c:pt idx="3">
                <c:v>1692</c:v>
              </c:pt>
              <c:pt idx="4">
                <c:v>1577</c:v>
              </c:pt>
              <c:pt idx="5">
                <c:v>1687</c:v>
              </c:pt>
              <c:pt idx="6">
                <c:v>1912</c:v>
              </c:pt>
              <c:pt idx="7">
                <c:v>1891</c:v>
              </c:pt>
              <c:pt idx="8">
                <c:v>2075</c:v>
              </c:pt>
              <c:pt idx="9">
                <c:v>2092</c:v>
              </c:pt>
            </c:numLit>
          </c:val>
        </c:ser>
        <c:ser>
          <c:idx val="8"/>
          <c:order val="8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466</c:v>
              </c:pt>
              <c:pt idx="1">
                <c:v>598</c:v>
              </c:pt>
              <c:pt idx="2">
                <c:v>672</c:v>
              </c:pt>
              <c:pt idx="3">
                <c:v>830</c:v>
              </c:pt>
              <c:pt idx="4">
                <c:v>873</c:v>
              </c:pt>
              <c:pt idx="5">
                <c:v>967</c:v>
              </c:pt>
              <c:pt idx="6">
                <c:v>1231</c:v>
              </c:pt>
              <c:pt idx="7">
                <c:v>1104</c:v>
              </c:pt>
              <c:pt idx="8">
                <c:v>1178</c:v>
              </c:pt>
              <c:pt idx="9">
                <c:v>1073</c:v>
              </c:pt>
            </c:numLit>
          </c:val>
        </c:ser>
        <c:ser>
          <c:idx val="9"/>
          <c:order val="9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243</c:v>
              </c:pt>
              <c:pt idx="1">
                <c:v>345</c:v>
              </c:pt>
              <c:pt idx="2">
                <c:v>356</c:v>
              </c:pt>
              <c:pt idx="3">
                <c:v>508</c:v>
              </c:pt>
              <c:pt idx="4">
                <c:v>469</c:v>
              </c:pt>
              <c:pt idx="5">
                <c:v>573</c:v>
              </c:pt>
              <c:pt idx="6">
                <c:v>785</c:v>
              </c:pt>
              <c:pt idx="7">
                <c:v>718</c:v>
              </c:pt>
              <c:pt idx="8">
                <c:v>763</c:v>
              </c:pt>
              <c:pt idx="9">
                <c:v>653</c:v>
              </c:pt>
            </c:numLit>
          </c:val>
        </c:ser>
        <c:ser>
          <c:idx val="10"/>
          <c:order val="10"/>
          <c:tx>
            <c:v>29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154</c:v>
              </c:pt>
              <c:pt idx="1">
                <c:v>195</c:v>
              </c:pt>
              <c:pt idx="2">
                <c:v>196</c:v>
              </c:pt>
              <c:pt idx="3">
                <c:v>283</c:v>
              </c:pt>
              <c:pt idx="4">
                <c:v>276</c:v>
              </c:pt>
              <c:pt idx="5">
                <c:v>314</c:v>
              </c:pt>
              <c:pt idx="6">
                <c:v>543</c:v>
              </c:pt>
              <c:pt idx="7">
                <c:v>592</c:v>
              </c:pt>
              <c:pt idx="8">
                <c:v>598</c:v>
              </c:pt>
              <c:pt idx="9">
                <c:v>464</c:v>
              </c:pt>
            </c:numLit>
          </c:val>
        </c:ser>
        <c:ser>
          <c:idx val="11"/>
          <c:order val="11"/>
          <c:tx>
            <c:v>30-34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218</c:v>
              </c:pt>
              <c:pt idx="1">
                <c:v>325</c:v>
              </c:pt>
              <c:pt idx="2">
                <c:v>342</c:v>
              </c:pt>
              <c:pt idx="3">
                <c:v>405</c:v>
              </c:pt>
              <c:pt idx="4">
                <c:v>462</c:v>
              </c:pt>
              <c:pt idx="5">
                <c:v>602</c:v>
              </c:pt>
              <c:pt idx="6">
                <c:v>1192</c:v>
              </c:pt>
              <c:pt idx="7">
                <c:v>1616</c:v>
              </c:pt>
              <c:pt idx="8">
                <c:v>1993</c:v>
              </c:pt>
              <c:pt idx="9">
                <c:v>1403</c:v>
              </c:pt>
            </c:numLit>
          </c:val>
        </c:ser>
        <c:ser>
          <c:idx val="12"/>
          <c:order val="12"/>
          <c:tx>
            <c:v>35-39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94</c:v>
              </c:pt>
              <c:pt idx="1">
                <c:v>96</c:v>
              </c:pt>
              <c:pt idx="2">
                <c:v>112</c:v>
              </c:pt>
              <c:pt idx="3">
                <c:v>119</c:v>
              </c:pt>
              <c:pt idx="4">
                <c:v>150</c:v>
              </c:pt>
              <c:pt idx="5">
                <c:v>228</c:v>
              </c:pt>
              <c:pt idx="6">
                <c:v>623</c:v>
              </c:pt>
              <c:pt idx="7">
                <c:v>916</c:v>
              </c:pt>
              <c:pt idx="8">
                <c:v>1125</c:v>
              </c:pt>
              <c:pt idx="9">
                <c:v>812</c:v>
              </c:pt>
            </c:numLit>
          </c:val>
        </c:ser>
        <c:ser>
          <c:idx val="13"/>
          <c:order val="13"/>
          <c:tx>
            <c:v>40+</c:v>
          </c:tx>
          <c:spPr>
            <a:ln w="25400">
              <a:noFill/>
            </a:ln>
          </c:spPr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</c:v>
              </c:pt>
              <c:pt idx="1">
                <c:v>53</c:v>
              </c:pt>
              <c:pt idx="2">
                <c:v>75</c:v>
              </c:pt>
              <c:pt idx="3">
                <c:v>97</c:v>
              </c:pt>
              <c:pt idx="4">
                <c:v>136</c:v>
              </c:pt>
              <c:pt idx="5">
                <c:v>179</c:v>
              </c:pt>
              <c:pt idx="6">
                <c:v>675</c:v>
              </c:pt>
              <c:pt idx="7">
                <c:v>1095</c:v>
              </c:pt>
              <c:pt idx="8">
                <c:v>1150</c:v>
              </c:pt>
              <c:pt idx="9">
                <c:v>778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16320"/>
        <c:axId val="110217856"/>
      </c:areaChart>
      <c:catAx>
        <c:axId val="11021632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217856"/>
        <c:crosses val="autoZero"/>
        <c:auto val="1"/>
        <c:lblAlgn val="ctr"/>
        <c:lblOffset val="100"/>
        <c:noMultiLvlLbl val="0"/>
      </c:catAx>
      <c:valAx>
        <c:axId val="110217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216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9596046028728626"/>
          <c:y val="2.0779822893968201E-2"/>
          <c:w val="8.6716704351032528E-2"/>
          <c:h val="0.93702873231363271"/>
        </c:manualLayout>
      </c:layout>
      <c:overlay val="0"/>
      <c:txPr>
        <a:bodyPr/>
        <a:lstStyle/>
        <a:p>
          <a:pPr>
            <a:defRPr sz="7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05844942459371E-2"/>
          <c:y val="6.1884669479606191E-2"/>
          <c:w val="0.7477251160912588"/>
          <c:h val="0.81804932611271763"/>
        </c:manualLayout>
      </c:layout>
      <c:areaChart>
        <c:grouping val="stacked"/>
        <c:varyColors val="0"/>
        <c:ser>
          <c:idx val="0"/>
          <c:order val="0"/>
          <c:tx>
            <c:v>23-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198</c:v>
              </c:pt>
              <c:pt idx="1">
                <c:v>236</c:v>
              </c:pt>
              <c:pt idx="2">
                <c:v>301</c:v>
              </c:pt>
              <c:pt idx="3">
                <c:v>201</c:v>
              </c:pt>
              <c:pt idx="4">
                <c:v>129</c:v>
              </c:pt>
              <c:pt idx="5">
                <c:v>114</c:v>
              </c:pt>
              <c:pt idx="6">
                <c:v>83</c:v>
              </c:pt>
              <c:pt idx="7">
                <c:v>21</c:v>
              </c:pt>
              <c:pt idx="8">
                <c:v>27</c:v>
              </c:pt>
              <c:pt idx="9">
                <c:v>22</c:v>
              </c:pt>
            </c:numLit>
          </c:val>
        </c:ser>
        <c:ser>
          <c:idx val="1"/>
          <c:order val="1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</c:v>
              </c:pt>
              <c:pt idx="1">
                <c:v>1</c:v>
              </c:pt>
              <c:pt idx="2">
                <c:v>10</c:v>
              </c:pt>
              <c:pt idx="3">
                <c:v>2</c:v>
              </c:pt>
              <c:pt idx="4">
                <c:v>3</c:v>
              </c:pt>
              <c:pt idx="5">
                <c:v>5</c:v>
              </c:pt>
              <c:pt idx="6">
                <c:v>246</c:v>
              </c:pt>
              <c:pt idx="7">
                <c:v>145</c:v>
              </c:pt>
              <c:pt idx="8">
                <c:v>91</c:v>
              </c:pt>
              <c:pt idx="9">
                <c:v>133</c:v>
              </c:pt>
            </c:numLit>
          </c:val>
        </c:ser>
        <c:ser>
          <c:idx val="2"/>
          <c:order val="2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196</c:v>
              </c:pt>
              <c:pt idx="1">
                <c:v>235</c:v>
              </c:pt>
              <c:pt idx="2">
                <c:v>291</c:v>
              </c:pt>
              <c:pt idx="3">
                <c:v>199</c:v>
              </c:pt>
              <c:pt idx="4">
                <c:v>126</c:v>
              </c:pt>
              <c:pt idx="5">
                <c:v>109</c:v>
              </c:pt>
              <c:pt idx="6">
                <c:v>357</c:v>
              </c:pt>
              <c:pt idx="7">
                <c:v>321</c:v>
              </c:pt>
              <c:pt idx="8">
                <c:v>205</c:v>
              </c:pt>
              <c:pt idx="9">
                <c:v>209</c:v>
              </c:pt>
            </c:numLit>
          </c:val>
        </c:ser>
        <c:ser>
          <c:idx val="3"/>
          <c:order val="3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433</c:v>
              </c:pt>
              <c:pt idx="1">
                <c:v>444</c:v>
              </c:pt>
              <c:pt idx="2">
                <c:v>478</c:v>
              </c:pt>
              <c:pt idx="3">
                <c:v>452</c:v>
              </c:pt>
              <c:pt idx="4">
                <c:v>375</c:v>
              </c:pt>
              <c:pt idx="5">
                <c:v>379</c:v>
              </c:pt>
              <c:pt idx="6">
                <c:v>494</c:v>
              </c:pt>
              <c:pt idx="7">
                <c:v>370</c:v>
              </c:pt>
              <c:pt idx="8">
                <c:v>313</c:v>
              </c:pt>
              <c:pt idx="9">
                <c:v>292</c:v>
              </c:pt>
            </c:numLit>
          </c:val>
        </c:ser>
        <c:ser>
          <c:idx val="4"/>
          <c:order val="4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545</c:v>
              </c:pt>
              <c:pt idx="1">
                <c:v>683</c:v>
              </c:pt>
              <c:pt idx="2">
                <c:v>630</c:v>
              </c:pt>
              <c:pt idx="3">
                <c:v>638</c:v>
              </c:pt>
              <c:pt idx="4">
                <c:v>570</c:v>
              </c:pt>
              <c:pt idx="5">
                <c:v>441</c:v>
              </c:pt>
              <c:pt idx="6">
                <c:v>589</c:v>
              </c:pt>
              <c:pt idx="7">
                <c:v>432</c:v>
              </c:pt>
              <c:pt idx="8">
                <c:v>341</c:v>
              </c:pt>
              <c:pt idx="9">
                <c:v>381</c:v>
              </c:pt>
            </c:numLit>
          </c:val>
        </c:ser>
        <c:ser>
          <c:idx val="5"/>
          <c:order val="5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697</c:v>
              </c:pt>
              <c:pt idx="1">
                <c:v>688</c:v>
              </c:pt>
              <c:pt idx="2">
                <c:v>782</c:v>
              </c:pt>
              <c:pt idx="3">
                <c:v>689</c:v>
              </c:pt>
              <c:pt idx="4">
                <c:v>707</c:v>
              </c:pt>
              <c:pt idx="5">
                <c:v>613</c:v>
              </c:pt>
              <c:pt idx="6">
                <c:v>526</c:v>
              </c:pt>
              <c:pt idx="7">
                <c:v>487</c:v>
              </c:pt>
              <c:pt idx="8">
                <c:v>362</c:v>
              </c:pt>
              <c:pt idx="9">
                <c:v>328</c:v>
              </c:pt>
            </c:numLit>
          </c:val>
        </c:ser>
        <c:ser>
          <c:idx val="6"/>
          <c:order val="6"/>
          <c:tx>
            <c:v>29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567</c:v>
              </c:pt>
              <c:pt idx="1">
                <c:v>649</c:v>
              </c:pt>
              <c:pt idx="2">
                <c:v>717</c:v>
              </c:pt>
              <c:pt idx="3">
                <c:v>796</c:v>
              </c:pt>
              <c:pt idx="4">
                <c:v>682</c:v>
              </c:pt>
              <c:pt idx="5">
                <c:v>666</c:v>
              </c:pt>
              <c:pt idx="6">
                <c:v>471</c:v>
              </c:pt>
              <c:pt idx="7">
                <c:v>403</c:v>
              </c:pt>
              <c:pt idx="8">
                <c:v>339</c:v>
              </c:pt>
              <c:pt idx="9">
                <c:v>351</c:v>
              </c:pt>
            </c:numLit>
          </c:val>
        </c:ser>
        <c:ser>
          <c:idx val="7"/>
          <c:order val="7"/>
          <c:tx>
            <c:v>30-34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483</c:v>
              </c:pt>
              <c:pt idx="1">
                <c:v>542</c:v>
              </c:pt>
              <c:pt idx="2">
                <c:v>589</c:v>
              </c:pt>
              <c:pt idx="3">
                <c:v>632</c:v>
              </c:pt>
              <c:pt idx="4">
                <c:v>644</c:v>
              </c:pt>
              <c:pt idx="5">
                <c:v>580</c:v>
              </c:pt>
              <c:pt idx="6">
                <c:v>1234</c:v>
              </c:pt>
              <c:pt idx="7">
                <c:v>1236</c:v>
              </c:pt>
              <c:pt idx="8">
                <c:v>1165</c:v>
              </c:pt>
              <c:pt idx="9">
                <c:v>1223</c:v>
              </c:pt>
            </c:numLit>
          </c:val>
        </c:ser>
        <c:ser>
          <c:idx val="8"/>
          <c:order val="8"/>
          <c:tx>
            <c:v>35-39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381</c:v>
              </c:pt>
              <c:pt idx="1">
                <c:v>425</c:v>
              </c:pt>
              <c:pt idx="2">
                <c:v>459</c:v>
              </c:pt>
              <c:pt idx="3">
                <c:v>500</c:v>
              </c:pt>
              <c:pt idx="4">
                <c:v>499</c:v>
              </c:pt>
              <c:pt idx="5">
                <c:v>524</c:v>
              </c:pt>
              <c:pt idx="6">
                <c:v>763</c:v>
              </c:pt>
              <c:pt idx="7">
                <c:v>774</c:v>
              </c:pt>
              <c:pt idx="8">
                <c:v>786</c:v>
              </c:pt>
              <c:pt idx="9">
                <c:v>952</c:v>
              </c:pt>
            </c:numLit>
          </c:val>
        </c:ser>
        <c:ser>
          <c:idx val="9"/>
          <c:order val="9"/>
          <c:tx>
            <c:v>40+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834</c:v>
              </c:pt>
              <c:pt idx="1">
                <c:v>916</c:v>
              </c:pt>
              <c:pt idx="2">
                <c:v>1005</c:v>
              </c:pt>
              <c:pt idx="3">
                <c:v>1192</c:v>
              </c:pt>
              <c:pt idx="4">
                <c:v>1283</c:v>
              </c:pt>
              <c:pt idx="5">
                <c:v>1343</c:v>
              </c:pt>
              <c:pt idx="6">
                <c:v>1662</c:v>
              </c:pt>
              <c:pt idx="7">
                <c:v>1572</c:v>
              </c:pt>
              <c:pt idx="8">
                <c:v>1506</c:v>
              </c:pt>
              <c:pt idx="9">
                <c:v>1683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3744"/>
        <c:axId val="110157824"/>
      </c:areaChart>
      <c:catAx>
        <c:axId val="1101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157824"/>
        <c:crosses val="autoZero"/>
        <c:auto val="1"/>
        <c:lblAlgn val="ctr"/>
        <c:lblOffset val="100"/>
        <c:noMultiLvlLbl val="0"/>
      </c:catAx>
      <c:valAx>
        <c:axId val="11015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14374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605844942459371E-2"/>
          <c:y val="6.1884669479606191E-2"/>
          <c:w val="0.7477251160912588"/>
          <c:h val="0.81804932611271763"/>
        </c:manualLayout>
      </c:layout>
      <c:areaChart>
        <c:grouping val="percentStacked"/>
        <c:varyColors val="0"/>
        <c:ser>
          <c:idx val="0"/>
          <c:order val="0"/>
          <c:tx>
            <c:v>23-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198</c:v>
              </c:pt>
              <c:pt idx="1">
                <c:v>236</c:v>
              </c:pt>
              <c:pt idx="2">
                <c:v>301</c:v>
              </c:pt>
              <c:pt idx="3">
                <c:v>201</c:v>
              </c:pt>
              <c:pt idx="4">
                <c:v>129</c:v>
              </c:pt>
              <c:pt idx="5">
                <c:v>114</c:v>
              </c:pt>
              <c:pt idx="6">
                <c:v>83</c:v>
              </c:pt>
              <c:pt idx="7">
                <c:v>21</c:v>
              </c:pt>
              <c:pt idx="8">
                <c:v>27</c:v>
              </c:pt>
              <c:pt idx="9">
                <c:v>22</c:v>
              </c:pt>
            </c:numLit>
          </c:val>
        </c:ser>
        <c:ser>
          <c:idx val="1"/>
          <c:order val="1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</c:v>
              </c:pt>
              <c:pt idx="1">
                <c:v>1</c:v>
              </c:pt>
              <c:pt idx="2">
                <c:v>10</c:v>
              </c:pt>
              <c:pt idx="3">
                <c:v>2</c:v>
              </c:pt>
              <c:pt idx="4">
                <c:v>3</c:v>
              </c:pt>
              <c:pt idx="5">
                <c:v>5</c:v>
              </c:pt>
              <c:pt idx="6">
                <c:v>246</c:v>
              </c:pt>
              <c:pt idx="7">
                <c:v>145</c:v>
              </c:pt>
              <c:pt idx="8">
                <c:v>91</c:v>
              </c:pt>
              <c:pt idx="9">
                <c:v>133</c:v>
              </c:pt>
            </c:numLit>
          </c:val>
        </c:ser>
        <c:ser>
          <c:idx val="2"/>
          <c:order val="2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196</c:v>
              </c:pt>
              <c:pt idx="1">
                <c:v>235</c:v>
              </c:pt>
              <c:pt idx="2">
                <c:v>291</c:v>
              </c:pt>
              <c:pt idx="3">
                <c:v>199</c:v>
              </c:pt>
              <c:pt idx="4">
                <c:v>126</c:v>
              </c:pt>
              <c:pt idx="5">
                <c:v>109</c:v>
              </c:pt>
              <c:pt idx="6">
                <c:v>357</c:v>
              </c:pt>
              <c:pt idx="7">
                <c:v>321</c:v>
              </c:pt>
              <c:pt idx="8">
                <c:v>205</c:v>
              </c:pt>
              <c:pt idx="9">
                <c:v>209</c:v>
              </c:pt>
            </c:numLit>
          </c:val>
        </c:ser>
        <c:ser>
          <c:idx val="3"/>
          <c:order val="3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433</c:v>
              </c:pt>
              <c:pt idx="1">
                <c:v>444</c:v>
              </c:pt>
              <c:pt idx="2">
                <c:v>478</c:v>
              </c:pt>
              <c:pt idx="3">
                <c:v>452</c:v>
              </c:pt>
              <c:pt idx="4">
                <c:v>375</c:v>
              </c:pt>
              <c:pt idx="5">
                <c:v>379</c:v>
              </c:pt>
              <c:pt idx="6">
                <c:v>494</c:v>
              </c:pt>
              <c:pt idx="7">
                <c:v>370</c:v>
              </c:pt>
              <c:pt idx="8">
                <c:v>313</c:v>
              </c:pt>
              <c:pt idx="9">
                <c:v>292</c:v>
              </c:pt>
            </c:numLit>
          </c:val>
        </c:ser>
        <c:ser>
          <c:idx val="4"/>
          <c:order val="4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545</c:v>
              </c:pt>
              <c:pt idx="1">
                <c:v>683</c:v>
              </c:pt>
              <c:pt idx="2">
                <c:v>630</c:v>
              </c:pt>
              <c:pt idx="3">
                <c:v>638</c:v>
              </c:pt>
              <c:pt idx="4">
                <c:v>570</c:v>
              </c:pt>
              <c:pt idx="5">
                <c:v>441</c:v>
              </c:pt>
              <c:pt idx="6">
                <c:v>589</c:v>
              </c:pt>
              <c:pt idx="7">
                <c:v>432</c:v>
              </c:pt>
              <c:pt idx="8">
                <c:v>341</c:v>
              </c:pt>
              <c:pt idx="9">
                <c:v>381</c:v>
              </c:pt>
            </c:numLit>
          </c:val>
        </c:ser>
        <c:ser>
          <c:idx val="5"/>
          <c:order val="5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697</c:v>
              </c:pt>
              <c:pt idx="1">
                <c:v>688</c:v>
              </c:pt>
              <c:pt idx="2">
                <c:v>782</c:v>
              </c:pt>
              <c:pt idx="3">
                <c:v>689</c:v>
              </c:pt>
              <c:pt idx="4">
                <c:v>707</c:v>
              </c:pt>
              <c:pt idx="5">
                <c:v>613</c:v>
              </c:pt>
              <c:pt idx="6">
                <c:v>526</c:v>
              </c:pt>
              <c:pt idx="7">
                <c:v>487</c:v>
              </c:pt>
              <c:pt idx="8">
                <c:v>362</c:v>
              </c:pt>
              <c:pt idx="9">
                <c:v>328</c:v>
              </c:pt>
            </c:numLit>
          </c:val>
        </c:ser>
        <c:ser>
          <c:idx val="6"/>
          <c:order val="6"/>
          <c:tx>
            <c:v>29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567</c:v>
              </c:pt>
              <c:pt idx="1">
                <c:v>649</c:v>
              </c:pt>
              <c:pt idx="2">
                <c:v>717</c:v>
              </c:pt>
              <c:pt idx="3">
                <c:v>796</c:v>
              </c:pt>
              <c:pt idx="4">
                <c:v>682</c:v>
              </c:pt>
              <c:pt idx="5">
                <c:v>666</c:v>
              </c:pt>
              <c:pt idx="6">
                <c:v>471</c:v>
              </c:pt>
              <c:pt idx="7">
                <c:v>403</c:v>
              </c:pt>
              <c:pt idx="8">
                <c:v>339</c:v>
              </c:pt>
              <c:pt idx="9">
                <c:v>351</c:v>
              </c:pt>
            </c:numLit>
          </c:val>
        </c:ser>
        <c:ser>
          <c:idx val="7"/>
          <c:order val="7"/>
          <c:tx>
            <c:v>30-34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483</c:v>
              </c:pt>
              <c:pt idx="1">
                <c:v>542</c:v>
              </c:pt>
              <c:pt idx="2">
                <c:v>589</c:v>
              </c:pt>
              <c:pt idx="3">
                <c:v>632</c:v>
              </c:pt>
              <c:pt idx="4">
                <c:v>644</c:v>
              </c:pt>
              <c:pt idx="5">
                <c:v>580</c:v>
              </c:pt>
              <c:pt idx="6">
                <c:v>1234</c:v>
              </c:pt>
              <c:pt idx="7">
                <c:v>1236</c:v>
              </c:pt>
              <c:pt idx="8">
                <c:v>1165</c:v>
              </c:pt>
              <c:pt idx="9">
                <c:v>1223</c:v>
              </c:pt>
            </c:numLit>
          </c:val>
        </c:ser>
        <c:ser>
          <c:idx val="8"/>
          <c:order val="8"/>
          <c:tx>
            <c:v>35-39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381</c:v>
              </c:pt>
              <c:pt idx="1">
                <c:v>425</c:v>
              </c:pt>
              <c:pt idx="2">
                <c:v>459</c:v>
              </c:pt>
              <c:pt idx="3">
                <c:v>500</c:v>
              </c:pt>
              <c:pt idx="4">
                <c:v>499</c:v>
              </c:pt>
              <c:pt idx="5">
                <c:v>524</c:v>
              </c:pt>
              <c:pt idx="6">
                <c:v>763</c:v>
              </c:pt>
              <c:pt idx="7">
                <c:v>774</c:v>
              </c:pt>
              <c:pt idx="8">
                <c:v>786</c:v>
              </c:pt>
              <c:pt idx="9">
                <c:v>952</c:v>
              </c:pt>
            </c:numLit>
          </c:val>
        </c:ser>
        <c:ser>
          <c:idx val="9"/>
          <c:order val="9"/>
          <c:tx>
            <c:v>40+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834</c:v>
              </c:pt>
              <c:pt idx="1">
                <c:v>916</c:v>
              </c:pt>
              <c:pt idx="2">
                <c:v>1005</c:v>
              </c:pt>
              <c:pt idx="3">
                <c:v>1192</c:v>
              </c:pt>
              <c:pt idx="4">
                <c:v>1283</c:v>
              </c:pt>
              <c:pt idx="5">
                <c:v>1343</c:v>
              </c:pt>
              <c:pt idx="6">
                <c:v>1662</c:v>
              </c:pt>
              <c:pt idx="7">
                <c:v>1572</c:v>
              </c:pt>
              <c:pt idx="8">
                <c:v>1506</c:v>
              </c:pt>
              <c:pt idx="9">
                <c:v>1683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685376"/>
        <c:axId val="109699456"/>
      </c:areaChart>
      <c:catAx>
        <c:axId val="109685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699456"/>
        <c:crosses val="autoZero"/>
        <c:auto val="1"/>
        <c:lblAlgn val="ctr"/>
        <c:lblOffset val="100"/>
        <c:noMultiLvlLbl val="0"/>
      </c:catAx>
      <c:valAx>
        <c:axId val="1096994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685376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232302123372248E-2"/>
          <c:y val="5.6194125159642422E-2"/>
          <c:w val="0.75131196278190349"/>
          <c:h val="0.83478042256212326"/>
        </c:manualLayout>
      </c:layout>
      <c:areaChart>
        <c:grouping val="stacked"/>
        <c:varyColors val="0"/>
        <c:ser>
          <c:idx val="0"/>
          <c:order val="0"/>
          <c:tx>
            <c:v>23-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264</c:v>
              </c:pt>
              <c:pt idx="1">
                <c:v>311</c:v>
              </c:pt>
              <c:pt idx="2">
                <c:v>335</c:v>
              </c:pt>
              <c:pt idx="3">
                <c:v>343</c:v>
              </c:pt>
              <c:pt idx="4">
                <c:v>417</c:v>
              </c:pt>
              <c:pt idx="5">
                <c:v>381</c:v>
              </c:pt>
              <c:pt idx="6">
                <c:v>359</c:v>
              </c:pt>
              <c:pt idx="7">
                <c:v>109</c:v>
              </c:pt>
              <c:pt idx="8">
                <c:v>172</c:v>
              </c:pt>
              <c:pt idx="9">
                <c:v>111</c:v>
              </c:pt>
            </c:numLit>
          </c:val>
        </c:ser>
        <c:ser>
          <c:idx val="1"/>
          <c:order val="1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500</c:v>
              </c:pt>
              <c:pt idx="1">
                <c:v>476</c:v>
              </c:pt>
              <c:pt idx="2">
                <c:v>555</c:v>
              </c:pt>
              <c:pt idx="3">
                <c:v>611</c:v>
              </c:pt>
              <c:pt idx="4">
                <c:v>696</c:v>
              </c:pt>
              <c:pt idx="5">
                <c:v>773</c:v>
              </c:pt>
              <c:pt idx="6">
                <c:v>787</c:v>
              </c:pt>
              <c:pt idx="7">
                <c:v>775</c:v>
              </c:pt>
              <c:pt idx="8">
                <c:v>995</c:v>
              </c:pt>
              <c:pt idx="9">
                <c:v>767</c:v>
              </c:pt>
            </c:numLit>
          </c:val>
        </c:ser>
        <c:ser>
          <c:idx val="2"/>
          <c:order val="2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449</c:v>
              </c:pt>
              <c:pt idx="1">
                <c:v>488</c:v>
              </c:pt>
              <c:pt idx="2">
                <c:v>551</c:v>
              </c:pt>
              <c:pt idx="3">
                <c:v>731</c:v>
              </c:pt>
              <c:pt idx="4">
                <c:v>776</c:v>
              </c:pt>
              <c:pt idx="5">
                <c:v>797</c:v>
              </c:pt>
              <c:pt idx="6">
                <c:v>945</c:v>
              </c:pt>
              <c:pt idx="7">
                <c:v>1099</c:v>
              </c:pt>
              <c:pt idx="8">
                <c:v>1326</c:v>
              </c:pt>
              <c:pt idx="9">
                <c:v>1440</c:v>
              </c:pt>
            </c:numLit>
          </c:val>
        </c:ser>
        <c:ser>
          <c:idx val="3"/>
          <c:order val="3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329</c:v>
              </c:pt>
              <c:pt idx="1">
                <c:v>302</c:v>
              </c:pt>
              <c:pt idx="2">
                <c:v>358</c:v>
              </c:pt>
              <c:pt idx="3">
                <c:v>477</c:v>
              </c:pt>
              <c:pt idx="4">
                <c:v>605</c:v>
              </c:pt>
              <c:pt idx="5">
                <c:v>620</c:v>
              </c:pt>
              <c:pt idx="6">
                <c:v>693</c:v>
              </c:pt>
              <c:pt idx="7">
                <c:v>881</c:v>
              </c:pt>
              <c:pt idx="8">
                <c:v>1151</c:v>
              </c:pt>
              <c:pt idx="9">
                <c:v>1316</c:v>
              </c:pt>
            </c:numLit>
          </c:val>
        </c:ser>
        <c:ser>
          <c:idx val="4"/>
          <c:order val="4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173</c:v>
              </c:pt>
              <c:pt idx="1">
                <c:v>208</c:v>
              </c:pt>
              <c:pt idx="2">
                <c:v>186</c:v>
              </c:pt>
              <c:pt idx="3">
                <c:v>227</c:v>
              </c:pt>
              <c:pt idx="4">
                <c:v>339</c:v>
              </c:pt>
              <c:pt idx="5">
                <c:v>404</c:v>
              </c:pt>
              <c:pt idx="6">
                <c:v>414</c:v>
              </c:pt>
              <c:pt idx="7">
                <c:v>529</c:v>
              </c:pt>
              <c:pt idx="8">
                <c:v>685</c:v>
              </c:pt>
              <c:pt idx="9">
                <c:v>905</c:v>
              </c:pt>
            </c:numLit>
          </c:val>
        </c:ser>
        <c:ser>
          <c:idx val="5"/>
          <c:order val="5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102</c:v>
              </c:pt>
              <c:pt idx="1">
                <c:v>109</c:v>
              </c:pt>
              <c:pt idx="2">
                <c:v>114</c:v>
              </c:pt>
              <c:pt idx="3">
                <c:v>110</c:v>
              </c:pt>
              <c:pt idx="4">
                <c:v>159</c:v>
              </c:pt>
              <c:pt idx="5">
                <c:v>221</c:v>
              </c:pt>
              <c:pt idx="6">
                <c:v>228</c:v>
              </c:pt>
              <c:pt idx="7">
                <c:v>311</c:v>
              </c:pt>
              <c:pt idx="8">
                <c:v>364</c:v>
              </c:pt>
              <c:pt idx="9">
                <c:v>516</c:v>
              </c:pt>
            </c:numLit>
          </c:val>
        </c:ser>
        <c:ser>
          <c:idx val="6"/>
          <c:order val="6"/>
          <c:tx>
            <c:v>29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41</c:v>
              </c:pt>
              <c:pt idx="1">
                <c:v>57</c:v>
              </c:pt>
              <c:pt idx="2">
                <c:v>55</c:v>
              </c:pt>
              <c:pt idx="3">
                <c:v>67</c:v>
              </c:pt>
              <c:pt idx="4">
                <c:v>95</c:v>
              </c:pt>
              <c:pt idx="5">
                <c:v>126</c:v>
              </c:pt>
              <c:pt idx="6">
                <c:v>150</c:v>
              </c:pt>
              <c:pt idx="7">
                <c:v>180</c:v>
              </c:pt>
              <c:pt idx="8">
                <c:v>215</c:v>
              </c:pt>
              <c:pt idx="9">
                <c:v>307</c:v>
              </c:pt>
            </c:numLit>
          </c:val>
        </c:ser>
        <c:ser>
          <c:idx val="7"/>
          <c:order val="7"/>
          <c:tx>
            <c:v>30-34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86</c:v>
              </c:pt>
              <c:pt idx="1">
                <c:v>79</c:v>
              </c:pt>
              <c:pt idx="2">
                <c:v>96</c:v>
              </c:pt>
              <c:pt idx="3">
                <c:v>114</c:v>
              </c:pt>
              <c:pt idx="4">
                <c:v>156</c:v>
              </c:pt>
              <c:pt idx="5">
                <c:v>205</c:v>
              </c:pt>
              <c:pt idx="6">
                <c:v>255</c:v>
              </c:pt>
              <c:pt idx="7">
                <c:v>342</c:v>
              </c:pt>
              <c:pt idx="8">
                <c:v>448</c:v>
              </c:pt>
              <c:pt idx="9">
                <c:v>575</c:v>
              </c:pt>
            </c:numLit>
          </c:val>
        </c:ser>
        <c:ser>
          <c:idx val="8"/>
          <c:order val="8"/>
          <c:tx>
            <c:v>35-39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</c:v>
              </c:pt>
              <c:pt idx="1">
                <c:v>27</c:v>
              </c:pt>
              <c:pt idx="2">
                <c:v>30</c:v>
              </c:pt>
              <c:pt idx="3">
                <c:v>29</c:v>
              </c:pt>
              <c:pt idx="4">
                <c:v>29</c:v>
              </c:pt>
              <c:pt idx="5">
                <c:v>54</c:v>
              </c:pt>
              <c:pt idx="6">
                <c:v>63</c:v>
              </c:pt>
              <c:pt idx="7">
                <c:v>90</c:v>
              </c:pt>
              <c:pt idx="8">
                <c:v>123</c:v>
              </c:pt>
              <c:pt idx="9">
                <c:v>166</c:v>
              </c:pt>
            </c:numLit>
          </c:val>
        </c:ser>
        <c:ser>
          <c:idx val="9"/>
          <c:order val="9"/>
          <c:tx>
            <c:v>40+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</c:v>
              </c:pt>
              <c:pt idx="1">
                <c:v>10</c:v>
              </c:pt>
              <c:pt idx="2">
                <c:v>15</c:v>
              </c:pt>
              <c:pt idx="3">
                <c:v>26</c:v>
              </c:pt>
              <c:pt idx="4">
                <c:v>35</c:v>
              </c:pt>
              <c:pt idx="5">
                <c:v>48</c:v>
              </c:pt>
              <c:pt idx="6">
                <c:v>46</c:v>
              </c:pt>
              <c:pt idx="7">
                <c:v>73</c:v>
              </c:pt>
              <c:pt idx="8">
                <c:v>101</c:v>
              </c:pt>
              <c:pt idx="9">
                <c:v>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804544"/>
        <c:axId val="109814528"/>
      </c:areaChart>
      <c:catAx>
        <c:axId val="10980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814528"/>
        <c:crosses val="autoZero"/>
        <c:auto val="1"/>
        <c:lblAlgn val="ctr"/>
        <c:lblOffset val="100"/>
        <c:noMultiLvlLbl val="0"/>
      </c:catAx>
      <c:valAx>
        <c:axId val="10981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09804544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232302123372248E-2"/>
          <c:y val="5.6194125159642422E-2"/>
          <c:w val="0.75131196278190349"/>
          <c:h val="0.83478042256212326"/>
        </c:manualLayout>
      </c:layout>
      <c:areaChart>
        <c:grouping val="percentStacked"/>
        <c:varyColors val="0"/>
        <c:ser>
          <c:idx val="0"/>
          <c:order val="0"/>
          <c:tx>
            <c:v>23-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264</c:v>
              </c:pt>
              <c:pt idx="1">
                <c:v>311</c:v>
              </c:pt>
              <c:pt idx="2">
                <c:v>335</c:v>
              </c:pt>
              <c:pt idx="3">
                <c:v>343</c:v>
              </c:pt>
              <c:pt idx="4">
                <c:v>417</c:v>
              </c:pt>
              <c:pt idx="5">
                <c:v>381</c:v>
              </c:pt>
              <c:pt idx="6">
                <c:v>359</c:v>
              </c:pt>
              <c:pt idx="7">
                <c:v>109</c:v>
              </c:pt>
              <c:pt idx="8">
                <c:v>172</c:v>
              </c:pt>
              <c:pt idx="9">
                <c:v>111</c:v>
              </c:pt>
            </c:numLit>
          </c:val>
        </c:ser>
        <c:ser>
          <c:idx val="1"/>
          <c:order val="1"/>
          <c:tx>
            <c:v>24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500</c:v>
              </c:pt>
              <c:pt idx="1">
                <c:v>476</c:v>
              </c:pt>
              <c:pt idx="2">
                <c:v>555</c:v>
              </c:pt>
              <c:pt idx="3">
                <c:v>611</c:v>
              </c:pt>
              <c:pt idx="4">
                <c:v>696</c:v>
              </c:pt>
              <c:pt idx="5">
                <c:v>773</c:v>
              </c:pt>
              <c:pt idx="6">
                <c:v>787</c:v>
              </c:pt>
              <c:pt idx="7">
                <c:v>775</c:v>
              </c:pt>
              <c:pt idx="8">
                <c:v>995</c:v>
              </c:pt>
              <c:pt idx="9">
                <c:v>767</c:v>
              </c:pt>
            </c:numLit>
          </c:val>
        </c:ser>
        <c:ser>
          <c:idx val="2"/>
          <c:order val="2"/>
          <c:tx>
            <c:v>25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449</c:v>
              </c:pt>
              <c:pt idx="1">
                <c:v>488</c:v>
              </c:pt>
              <c:pt idx="2">
                <c:v>551</c:v>
              </c:pt>
              <c:pt idx="3">
                <c:v>731</c:v>
              </c:pt>
              <c:pt idx="4">
                <c:v>776</c:v>
              </c:pt>
              <c:pt idx="5">
                <c:v>797</c:v>
              </c:pt>
              <c:pt idx="6">
                <c:v>945</c:v>
              </c:pt>
              <c:pt idx="7">
                <c:v>1099</c:v>
              </c:pt>
              <c:pt idx="8">
                <c:v>1326</c:v>
              </c:pt>
              <c:pt idx="9">
                <c:v>1440</c:v>
              </c:pt>
            </c:numLit>
          </c:val>
        </c:ser>
        <c:ser>
          <c:idx val="3"/>
          <c:order val="3"/>
          <c:tx>
            <c:v>26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329</c:v>
              </c:pt>
              <c:pt idx="1">
                <c:v>302</c:v>
              </c:pt>
              <c:pt idx="2">
                <c:v>358</c:v>
              </c:pt>
              <c:pt idx="3">
                <c:v>477</c:v>
              </c:pt>
              <c:pt idx="4">
                <c:v>605</c:v>
              </c:pt>
              <c:pt idx="5">
                <c:v>620</c:v>
              </c:pt>
              <c:pt idx="6">
                <c:v>693</c:v>
              </c:pt>
              <c:pt idx="7">
                <c:v>881</c:v>
              </c:pt>
              <c:pt idx="8">
                <c:v>1151</c:v>
              </c:pt>
              <c:pt idx="9">
                <c:v>1316</c:v>
              </c:pt>
            </c:numLit>
          </c:val>
        </c:ser>
        <c:ser>
          <c:idx val="4"/>
          <c:order val="4"/>
          <c:tx>
            <c:v>27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173</c:v>
              </c:pt>
              <c:pt idx="1">
                <c:v>208</c:v>
              </c:pt>
              <c:pt idx="2">
                <c:v>186</c:v>
              </c:pt>
              <c:pt idx="3">
                <c:v>227</c:v>
              </c:pt>
              <c:pt idx="4">
                <c:v>339</c:v>
              </c:pt>
              <c:pt idx="5">
                <c:v>404</c:v>
              </c:pt>
              <c:pt idx="6">
                <c:v>414</c:v>
              </c:pt>
              <c:pt idx="7">
                <c:v>529</c:v>
              </c:pt>
              <c:pt idx="8">
                <c:v>685</c:v>
              </c:pt>
              <c:pt idx="9">
                <c:v>905</c:v>
              </c:pt>
            </c:numLit>
          </c:val>
        </c:ser>
        <c:ser>
          <c:idx val="5"/>
          <c:order val="5"/>
          <c:tx>
            <c:v>28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102</c:v>
              </c:pt>
              <c:pt idx="1">
                <c:v>109</c:v>
              </c:pt>
              <c:pt idx="2">
                <c:v>114</c:v>
              </c:pt>
              <c:pt idx="3">
                <c:v>110</c:v>
              </c:pt>
              <c:pt idx="4">
                <c:v>159</c:v>
              </c:pt>
              <c:pt idx="5">
                <c:v>221</c:v>
              </c:pt>
              <c:pt idx="6">
                <c:v>228</c:v>
              </c:pt>
              <c:pt idx="7">
                <c:v>311</c:v>
              </c:pt>
              <c:pt idx="8">
                <c:v>364</c:v>
              </c:pt>
              <c:pt idx="9">
                <c:v>516</c:v>
              </c:pt>
            </c:numLit>
          </c:val>
        </c:ser>
        <c:ser>
          <c:idx val="6"/>
          <c:order val="6"/>
          <c:tx>
            <c:v>29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41</c:v>
              </c:pt>
              <c:pt idx="1">
                <c:v>57</c:v>
              </c:pt>
              <c:pt idx="2">
                <c:v>55</c:v>
              </c:pt>
              <c:pt idx="3">
                <c:v>67</c:v>
              </c:pt>
              <c:pt idx="4">
                <c:v>95</c:v>
              </c:pt>
              <c:pt idx="5">
                <c:v>126</c:v>
              </c:pt>
              <c:pt idx="6">
                <c:v>150</c:v>
              </c:pt>
              <c:pt idx="7">
                <c:v>180</c:v>
              </c:pt>
              <c:pt idx="8">
                <c:v>215</c:v>
              </c:pt>
              <c:pt idx="9">
                <c:v>307</c:v>
              </c:pt>
            </c:numLit>
          </c:val>
        </c:ser>
        <c:ser>
          <c:idx val="7"/>
          <c:order val="7"/>
          <c:tx>
            <c:v>30-34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86</c:v>
              </c:pt>
              <c:pt idx="1">
                <c:v>79</c:v>
              </c:pt>
              <c:pt idx="2">
                <c:v>96</c:v>
              </c:pt>
              <c:pt idx="3">
                <c:v>114</c:v>
              </c:pt>
              <c:pt idx="4">
                <c:v>156</c:v>
              </c:pt>
              <c:pt idx="5">
                <c:v>205</c:v>
              </c:pt>
              <c:pt idx="6">
                <c:v>255</c:v>
              </c:pt>
              <c:pt idx="7">
                <c:v>342</c:v>
              </c:pt>
              <c:pt idx="8">
                <c:v>448</c:v>
              </c:pt>
              <c:pt idx="9">
                <c:v>575</c:v>
              </c:pt>
            </c:numLit>
          </c:val>
        </c:ser>
        <c:ser>
          <c:idx val="8"/>
          <c:order val="8"/>
          <c:tx>
            <c:v>35-39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17</c:v>
              </c:pt>
              <c:pt idx="1">
                <c:v>27</c:v>
              </c:pt>
              <c:pt idx="2">
                <c:v>30</c:v>
              </c:pt>
              <c:pt idx="3">
                <c:v>29</c:v>
              </c:pt>
              <c:pt idx="4">
                <c:v>29</c:v>
              </c:pt>
              <c:pt idx="5">
                <c:v>54</c:v>
              </c:pt>
              <c:pt idx="6">
                <c:v>63</c:v>
              </c:pt>
              <c:pt idx="7">
                <c:v>90</c:v>
              </c:pt>
              <c:pt idx="8">
                <c:v>123</c:v>
              </c:pt>
              <c:pt idx="9">
                <c:v>166</c:v>
              </c:pt>
            </c:numLit>
          </c:val>
        </c:ser>
        <c:ser>
          <c:idx val="9"/>
          <c:order val="9"/>
          <c:tx>
            <c:v>40+</c:v>
          </c:tx>
          <c:cat>
            <c:strLit>
              <c:ptCount val="10"/>
              <c:pt idx="0">
                <c:v>2001</c:v>
              </c:pt>
              <c:pt idx="1">
                <c:v>2002</c:v>
              </c:pt>
              <c:pt idx="2">
                <c:v>2003</c:v>
              </c:pt>
              <c:pt idx="3">
                <c:v>2004</c:v>
              </c:pt>
              <c:pt idx="4">
                <c:v>2005</c:v>
              </c:pt>
              <c:pt idx="5">
                <c:v>2006</c:v>
              </c:pt>
              <c:pt idx="6">
                <c:v>2007</c:v>
              </c:pt>
              <c:pt idx="7">
                <c:v>2008</c:v>
              </c:pt>
              <c:pt idx="8">
                <c:v>2009</c:v>
              </c:pt>
              <c:pt idx="9">
                <c:v>2010</c:v>
              </c:pt>
            </c:strLit>
          </c:cat>
          <c:val>
            <c:numLit>
              <c:formatCode>General</c:formatCode>
              <c:ptCount val="10"/>
              <c:pt idx="0">
                <c:v>9</c:v>
              </c:pt>
              <c:pt idx="1">
                <c:v>10</c:v>
              </c:pt>
              <c:pt idx="2">
                <c:v>15</c:v>
              </c:pt>
              <c:pt idx="3">
                <c:v>26</c:v>
              </c:pt>
              <c:pt idx="4">
                <c:v>35</c:v>
              </c:pt>
              <c:pt idx="5">
                <c:v>48</c:v>
              </c:pt>
              <c:pt idx="6">
                <c:v>46</c:v>
              </c:pt>
              <c:pt idx="7">
                <c:v>73</c:v>
              </c:pt>
              <c:pt idx="8">
                <c:v>101</c:v>
              </c:pt>
              <c:pt idx="9">
                <c:v>133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529920"/>
        <c:axId val="110539904"/>
      </c:areaChart>
      <c:catAx>
        <c:axId val="11052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539904"/>
        <c:crosses val="autoZero"/>
        <c:auto val="1"/>
        <c:lblAlgn val="ctr"/>
        <c:lblOffset val="100"/>
        <c:noMultiLvlLbl val="0"/>
      </c:catAx>
      <c:valAx>
        <c:axId val="11053990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110529920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>
            <a:defRPr sz="800"/>
          </a:pPr>
          <a:endParaRPr lang="sk-SK"/>
        </a:p>
      </c:txPr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KEGA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2323574.321184359</c:v>
              </c:pt>
              <c:pt idx="1">
                <c:v>2564230.2330213105</c:v>
              </c:pt>
              <c:pt idx="2">
                <c:v>2542820.15534754</c:v>
              </c:pt>
              <c:pt idx="3">
                <c:v>2556000</c:v>
              </c:pt>
              <c:pt idx="4">
                <c:v>2456400</c:v>
              </c:pt>
            </c:numLit>
          </c:val>
          <c:smooth val="0"/>
        </c:ser>
        <c:ser>
          <c:idx val="1"/>
          <c:order val="1"/>
          <c:tx>
            <c:v>VEGA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9907986.4568810984</c:v>
              </c:pt>
              <c:pt idx="1">
                <c:v>10309201.354311889</c:v>
              </c:pt>
              <c:pt idx="2">
                <c:v>10372435.769766979</c:v>
              </c:pt>
              <c:pt idx="3">
                <c:v>10299314</c:v>
              </c:pt>
              <c:pt idx="4">
                <c:v>10291437</c:v>
              </c:pt>
            </c:numLit>
          </c:val>
          <c:smooth val="0"/>
        </c:ser>
        <c:ser>
          <c:idx val="2"/>
          <c:order val="2"/>
          <c:tx>
            <c:v>ZG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3980448.7817831771</c:v>
              </c:pt>
              <c:pt idx="1">
                <c:v>4648144.4599349396</c:v>
              </c:pt>
              <c:pt idx="2">
                <c:v>5099283.0113523202</c:v>
              </c:pt>
              <c:pt idx="3">
                <c:v>4996008</c:v>
              </c:pt>
              <c:pt idx="4">
                <c:v>5355050</c:v>
              </c:pt>
            </c:numLit>
          </c:val>
          <c:smooth val="0"/>
        </c:ser>
        <c:ser>
          <c:idx val="3"/>
          <c:order val="3"/>
          <c:tx>
            <c:v>APVV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6937960.5656243777</c:v>
              </c:pt>
              <c:pt idx="1">
                <c:v>9636294.2308968995</c:v>
              </c:pt>
              <c:pt idx="2">
                <c:v>12102901.148509592</c:v>
              </c:pt>
              <c:pt idx="3">
                <c:v>13803475</c:v>
              </c:pt>
              <c:pt idx="4">
                <c:v>11108922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899136"/>
        <c:axId val="109900928"/>
      </c:lineChart>
      <c:catAx>
        <c:axId val="1098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900928"/>
        <c:crosses val="autoZero"/>
        <c:auto val="1"/>
        <c:lblAlgn val="ctr"/>
        <c:lblOffset val="100"/>
        <c:noMultiLvlLbl val="0"/>
      </c:catAx>
      <c:valAx>
        <c:axId val="109900928"/>
        <c:scaling>
          <c:orientation val="minMax"/>
          <c:max val="14000000"/>
          <c:min val="0"/>
        </c:scaling>
        <c:delete val="0"/>
        <c:axPos val="l"/>
        <c:minorGridlines/>
        <c:numFmt formatCode="General" sourceLinked="1"/>
        <c:majorTickMark val="out"/>
        <c:minorTickMark val="none"/>
        <c:tickLblPos val="nextTo"/>
        <c:crossAx val="109899136"/>
        <c:crosses val="autoZero"/>
        <c:crossBetween val="between"/>
        <c:majorUnit val="2000000"/>
        <c:minorUnit val="1000000"/>
        <c:dispUnits>
          <c:builtInUnit val="millions"/>
          <c:dispUnitsLbl>
            <c:layout/>
            <c:tx>
              <c:rich>
                <a:bodyPr/>
                <a:lstStyle/>
                <a:p>
                  <a:pPr>
                    <a:defRPr/>
                  </a:pPr>
                  <a:r>
                    <a:rPr lang="sk-SK" sz="800"/>
                    <a:t>mil. €</a:t>
                  </a:r>
                </a:p>
              </c:rich>
            </c:tx>
          </c:dispUnitsLbl>
        </c:dispUnits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KEGA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364</c:v>
              </c:pt>
              <c:pt idx="1">
                <c:v>455</c:v>
              </c:pt>
              <c:pt idx="2">
                <c:v>356</c:v>
              </c:pt>
              <c:pt idx="3">
                <c:v>299</c:v>
              </c:pt>
              <c:pt idx="4">
                <c:v>323</c:v>
              </c:pt>
            </c:numLit>
          </c:val>
          <c:smooth val="0"/>
        </c:ser>
        <c:ser>
          <c:idx val="1"/>
          <c:order val="1"/>
          <c:tx>
            <c:v>VEGA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1649</c:v>
              </c:pt>
              <c:pt idx="1">
                <c:v>1824</c:v>
              </c:pt>
              <c:pt idx="2">
                <c:v>1988</c:v>
              </c:pt>
              <c:pt idx="3">
                <c:v>1715</c:v>
              </c:pt>
              <c:pt idx="4">
                <c:v>1623</c:v>
              </c:pt>
            </c:numLit>
          </c:val>
          <c:smooth val="0"/>
        </c:ser>
        <c:ser>
          <c:idx val="2"/>
          <c:order val="2"/>
          <c:tx>
            <c:v>ZG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241</c:v>
              </c:pt>
              <c:pt idx="1">
                <c:v>174</c:v>
              </c:pt>
              <c:pt idx="2">
                <c:v>158</c:v>
              </c:pt>
              <c:pt idx="3">
                <c:v>191</c:v>
              </c:pt>
              <c:pt idx="4">
                <c:v>151</c:v>
              </c:pt>
            </c:numLit>
          </c:val>
          <c:smooth val="0"/>
        </c:ser>
        <c:ser>
          <c:idx val="3"/>
          <c:order val="3"/>
          <c:tx>
            <c:v>APVV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190</c:v>
              </c:pt>
              <c:pt idx="1">
                <c:v>324</c:v>
              </c:pt>
              <c:pt idx="2">
                <c:v>327</c:v>
              </c:pt>
              <c:pt idx="3">
                <c:v>323</c:v>
              </c:pt>
              <c:pt idx="4">
                <c:v>341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40960"/>
        <c:axId val="95650944"/>
      </c:lineChart>
      <c:catAx>
        <c:axId val="956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650944"/>
        <c:crosses val="autoZero"/>
        <c:auto val="1"/>
        <c:lblAlgn val="ctr"/>
        <c:lblOffset val="100"/>
        <c:noMultiLvlLbl val="0"/>
      </c:catAx>
      <c:valAx>
        <c:axId val="9565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6409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KEGA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6383.4459373196678</c:v>
              </c:pt>
              <c:pt idx="1">
                <c:v>5635.6708418050785</c:v>
              </c:pt>
              <c:pt idx="2">
                <c:v>7142.7532453582589</c:v>
              </c:pt>
              <c:pt idx="3">
                <c:v>8548.4949832775928</c:v>
              </c:pt>
              <c:pt idx="4">
                <c:v>7604.9535603715167</c:v>
              </c:pt>
            </c:numLit>
          </c:val>
          <c:smooth val="0"/>
        </c:ser>
        <c:ser>
          <c:idx val="1"/>
          <c:order val="1"/>
          <c:tx>
            <c:v>VEGA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6008.4817810073364</c:v>
              </c:pt>
              <c:pt idx="1">
                <c:v>5651.9744267060796</c:v>
              </c:pt>
              <c:pt idx="2">
                <c:v>5217.5230230216193</c:v>
              </c:pt>
              <c:pt idx="3">
                <c:v>6005.4309037900875</c:v>
              </c:pt>
              <c:pt idx="4">
                <c:v>6340.9963031423295</c:v>
              </c:pt>
            </c:numLit>
          </c:val>
          <c:smooth val="0"/>
        </c:ser>
        <c:ser>
          <c:idx val="2"/>
          <c:order val="2"/>
          <c:tx>
            <c:v>ZG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16516.384986652189</c:v>
              </c:pt>
              <c:pt idx="1">
                <c:v>26713.473907672065</c:v>
              </c:pt>
              <c:pt idx="2">
                <c:v>32273.94310982481</c:v>
              </c:pt>
              <c:pt idx="3">
                <c:v>26157.109947643978</c:v>
              </c:pt>
              <c:pt idx="4">
                <c:v>35463.907284768211</c:v>
              </c:pt>
            </c:numLit>
          </c:val>
          <c:smooth val="0"/>
        </c:ser>
        <c:ser>
          <c:idx val="3"/>
          <c:order val="3"/>
          <c:tx>
            <c:v>APVV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36515.581924338832</c:v>
              </c:pt>
              <c:pt idx="1">
                <c:v>29741.648860792899</c:v>
              </c:pt>
              <c:pt idx="2">
                <c:v>37011.930117766336</c:v>
              </c:pt>
              <c:pt idx="3">
                <c:v>42735.216718266252</c:v>
              </c:pt>
              <c:pt idx="4">
                <c:v>32577.483870967742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665152"/>
        <c:axId val="95675136"/>
      </c:lineChart>
      <c:catAx>
        <c:axId val="9566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675136"/>
        <c:crosses val="autoZero"/>
        <c:auto val="1"/>
        <c:lblAlgn val="ctr"/>
        <c:lblOffset val="100"/>
        <c:noMultiLvlLbl val="0"/>
      </c:catAx>
      <c:valAx>
        <c:axId val="95675136"/>
        <c:scaling>
          <c:orientation val="minMax"/>
          <c:max val="45000"/>
          <c:min val="0"/>
        </c:scaling>
        <c:delete val="0"/>
        <c:axPos val="l"/>
        <c:minorGridlines/>
        <c:numFmt formatCode="General" sourceLinked="1"/>
        <c:majorTickMark val="out"/>
        <c:minorTickMark val="cross"/>
        <c:tickLblPos val="nextTo"/>
        <c:crossAx val="95665152"/>
        <c:crosses val="autoZero"/>
        <c:crossBetween val="between"/>
        <c:majorUnit val="10000"/>
        <c:minorUnit val="500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náklady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459.22593888999535</c:v>
              </c:pt>
              <c:pt idx="1">
                <c:v>523.36692644227571</c:v>
              </c:pt>
              <c:pt idx="2">
                <c:v>541.53712328221468</c:v>
              </c:pt>
              <c:pt idx="3">
                <c:v>568.740093</c:v>
              </c:pt>
              <c:pt idx="4">
                <c:v>602.99066400000004</c:v>
              </c:pt>
            </c:numLit>
          </c:val>
          <c:smooth val="0"/>
        </c:ser>
        <c:ser>
          <c:idx val="0"/>
          <c:order val="1"/>
          <c:tx>
            <c:v>výnosy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466.29678111929894</c:v>
              </c:pt>
              <c:pt idx="1">
                <c:v>539.54622253203217</c:v>
              </c:pt>
              <c:pt idx="2">
                <c:v>555.18094059915018</c:v>
              </c:pt>
              <c:pt idx="3">
                <c:v>578.46862965000003</c:v>
              </c:pt>
              <c:pt idx="4">
                <c:v>614.88988915999994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16864"/>
        <c:axId val="95718400"/>
      </c:lineChart>
      <c:catAx>
        <c:axId val="9571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718400"/>
        <c:crosses val="autoZero"/>
        <c:auto val="1"/>
        <c:lblAlgn val="ctr"/>
        <c:lblOffset val="100"/>
        <c:noMultiLvlLbl val="0"/>
      </c:catAx>
      <c:valAx>
        <c:axId val="95718400"/>
        <c:scaling>
          <c:orientation val="minMax"/>
          <c:max val="700"/>
          <c:min val="300"/>
        </c:scaling>
        <c:delete val="0"/>
        <c:axPos val="l"/>
        <c:majorGridlines/>
        <c:minorGridlines>
          <c:spPr>
            <a:ln>
              <a:solidFill>
                <a:schemeClr val="tx1"/>
              </a:solidFill>
              <a:prstDash val="sysDot"/>
            </a:ln>
          </c:spPr>
        </c:min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sk-SK"/>
          </a:p>
        </c:txPr>
        <c:crossAx val="95716864"/>
        <c:crosses val="autoZero"/>
        <c:crossBetween val="between"/>
        <c:minorUnit val="50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výnosy</c:v>
          </c:tx>
          <c:invertIfNegative val="0"/>
          <c:cat>
            <c:strLit>
              <c:ptCount val="4"/>
              <c:pt idx="0">
                <c:v>2007
-2006</c:v>
              </c:pt>
              <c:pt idx="1">
                <c:v>2008
-2007</c:v>
              </c:pt>
              <c:pt idx="2">
                <c:v>2009
-2008</c:v>
              </c:pt>
              <c:pt idx="3">
                <c:v>2010
-2009</c:v>
              </c:pt>
            </c:strLit>
          </c:cat>
          <c:val>
            <c:numLit>
              <c:formatCode>General</c:formatCode>
              <c:ptCount val="4"/>
              <c:pt idx="0">
                <c:v>0.15708759823926988</c:v>
              </c:pt>
              <c:pt idx="1">
                <c:v>2.89775322561725E-2</c:v>
              </c:pt>
              <c:pt idx="2">
                <c:v>4.1946124853849964E-2</c:v>
              </c:pt>
              <c:pt idx="3">
                <c:v>6.2961511900889944E-2</c:v>
              </c:pt>
            </c:numLit>
          </c:val>
        </c:ser>
        <c:ser>
          <c:idx val="1"/>
          <c:order val="1"/>
          <c:tx>
            <c:v>náklady</c:v>
          </c:tx>
          <c:invertIfNegative val="0"/>
          <c:cat>
            <c:strLit>
              <c:ptCount val="4"/>
              <c:pt idx="0">
                <c:v>2007
-2006</c:v>
              </c:pt>
              <c:pt idx="1">
                <c:v>2008
-2007</c:v>
              </c:pt>
              <c:pt idx="2">
                <c:v>2009
-2008</c:v>
              </c:pt>
              <c:pt idx="3">
                <c:v>2010
-2009</c:v>
              </c:pt>
            </c:strLit>
          </c:cat>
          <c:val>
            <c:numLit>
              <c:formatCode>General</c:formatCode>
              <c:ptCount val="4"/>
              <c:pt idx="0">
                <c:v>0.13967196127317383</c:v>
              </c:pt>
              <c:pt idx="1">
                <c:v>3.4717892785957272E-2</c:v>
              </c:pt>
              <c:pt idx="2">
                <c:v>5.0232880717226314E-2</c:v>
              </c:pt>
              <c:pt idx="3">
                <c:v>6.0221833173980333E-2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558592"/>
        <c:axId val="95761536"/>
      </c:barChart>
      <c:catAx>
        <c:axId val="110558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1000"/>
            </a:pPr>
            <a:endParaRPr lang="sk-SK"/>
          </a:p>
        </c:txPr>
        <c:crossAx val="95761536"/>
        <c:crosses val="autoZero"/>
        <c:auto val="1"/>
        <c:lblAlgn val="ctr"/>
        <c:lblOffset val="100"/>
        <c:noMultiLvlLbl val="0"/>
      </c:catAx>
      <c:valAx>
        <c:axId val="9576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558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v>dotácia na prevádzku</c:v>
          </c:tx>
          <c:invertIfNegative val="0"/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0.76282109281321631</c:v>
              </c:pt>
              <c:pt idx="1">
                <c:v>0.6904886246126003</c:v>
              </c:pt>
              <c:pt idx="2">
                <c:v>0.76232666176209885</c:v>
              </c:pt>
              <c:pt idx="3">
                <c:v>0.76527207407572861</c:v>
              </c:pt>
              <c:pt idx="4">
                <c:v>0.7580087300455165</c:v>
              </c:pt>
            </c:numLit>
          </c:val>
        </c:ser>
        <c:ser>
          <c:idx val="1"/>
          <c:order val="1"/>
          <c:tx>
            <c:v>ostatné výnosy</c:v>
          </c:tx>
          <c:invertIfNegative val="0"/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0.23717890718678369</c:v>
              </c:pt>
              <c:pt idx="1">
                <c:v>0.3095113753873997</c:v>
              </c:pt>
              <c:pt idx="2">
                <c:v>0.23767333823790115</c:v>
              </c:pt>
              <c:pt idx="3">
                <c:v>0.23472792592427139</c:v>
              </c:pt>
              <c:pt idx="4">
                <c:v>0.2419912699544835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95782400"/>
        <c:axId val="95783936"/>
      </c:barChart>
      <c:catAx>
        <c:axId val="9578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5783936"/>
        <c:crosses val="autoZero"/>
        <c:auto val="1"/>
        <c:lblAlgn val="ctr"/>
        <c:lblOffset val="100"/>
        <c:noMultiLvlLbl val="0"/>
      </c:catAx>
      <c:valAx>
        <c:axId val="9578393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5782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31.888817930237487</c:v>
              </c:pt>
              <c:pt idx="2">
                <c:v>27.43590913237837</c:v>
              </c:pt>
              <c:pt idx="3">
                <c:v>2.4184228932883167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v>dotácia na prevádzku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355.70102014870878</c:v>
              </c:pt>
              <c:pt idx="1">
                <c:v>372.55052911106679</c:v>
              </c:pt>
              <c:pt idx="2">
                <c:v>423.22923312089227</c:v>
              </c:pt>
              <c:pt idx="3">
                <c:v>442.68588799999998</c:v>
              </c:pt>
              <c:pt idx="4">
                <c:v>466.091904</c:v>
              </c:pt>
            </c:numLit>
          </c:val>
          <c:smooth val="0"/>
        </c:ser>
        <c:ser>
          <c:idx val="1"/>
          <c:order val="1"/>
          <c:tx>
            <c:v>celkové výnosy</c:v>
          </c:tx>
          <c:marker>
            <c:symbol val="none"/>
          </c:marker>
          <c:cat>
            <c:numLit>
              <c:formatCode>General</c:formatCode>
              <c:ptCount val="5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</c:numLit>
          </c:cat>
          <c:val>
            <c:numLit>
              <c:formatCode>General</c:formatCode>
              <c:ptCount val="5"/>
              <c:pt idx="0">
                <c:v>110.59576097059016</c:v>
              </c:pt>
              <c:pt idx="1">
                <c:v>166.99569342096538</c:v>
              </c:pt>
              <c:pt idx="2">
                <c:v>131.9517074782579</c:v>
              </c:pt>
              <c:pt idx="3">
                <c:v>135.78274165000005</c:v>
              </c:pt>
              <c:pt idx="4">
                <c:v>148.79798515999994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812992"/>
        <c:axId val="110888064"/>
      </c:lineChart>
      <c:catAx>
        <c:axId val="958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0888064"/>
        <c:crosses val="autoZero"/>
        <c:auto val="1"/>
        <c:lblAlgn val="ctr"/>
        <c:lblOffset val="100"/>
        <c:noMultiLvlLbl val="0"/>
      </c:catAx>
      <c:valAx>
        <c:axId val="110888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812992"/>
        <c:crosses val="autoZero"/>
        <c:crossBetween val="between"/>
      </c:valAx>
    </c:plotArea>
    <c:legend>
      <c:legendPos val="b"/>
      <c:layout/>
      <c:overlay val="0"/>
    </c:legend>
    <c:plotVisOnly val="1"/>
    <c:dispBlanksAs val="zero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31.888817930237487</c:v>
              </c:pt>
              <c:pt idx="2">
                <c:v>27.43590913237837</c:v>
              </c:pt>
              <c:pt idx="3">
                <c:v>2.4184228932883167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sk-SK"/>
              <a:t>Hlavný nadpis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0000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8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sk-SK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1" l="0.75000000000000111" r="0.75000000000000111" t="1" header="0.4921259845000005" footer="0.492125984500000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75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title>
    <c:autoTitleDeleted val="0"/>
    <c:plotArea>
      <c:layout/>
      <c:pieChart>
        <c:varyColors val="1"/>
        <c:ser>
          <c:idx val="0"/>
          <c:order val="0"/>
          <c:tx>
            <c:v>Podiel sektoru na celkovom objeme pridelených finančných prostriedkov 
(v %) 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sk-SK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4"/>
              <c:pt idx="0">
                <c:v>Štátny sektor (bez SAV)</c:v>
              </c:pt>
              <c:pt idx="1">
                <c:v>Slovenská akadémia vied</c:v>
              </c:pt>
              <c:pt idx="2">
                <c:v>Podnikateľský sektor</c:v>
              </c:pt>
              <c:pt idx="3">
                <c:v>Neziskové organizácie</c:v>
              </c:pt>
            </c:strLit>
          </c:cat>
          <c:val>
            <c:numLit>
              <c:formatCode>General</c:formatCode>
              <c:ptCount val="4"/>
              <c:pt idx="0">
                <c:v>15.160569291123014</c:v>
              </c:pt>
              <c:pt idx="1">
                <c:v>31.888817930237369</c:v>
              </c:pt>
              <c:pt idx="2">
                <c:v>27.435909132378274</c:v>
              </c:pt>
              <c:pt idx="3">
                <c:v>2.4184228932883065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133" r="0.75000000000000133" t="1" header="0.49212598450000061" footer="0.4921259845000006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5.xml"/><Relationship Id="rId2" Type="http://schemas.openxmlformats.org/officeDocument/2006/relationships/chart" Target="../charts/chart34.xml"/><Relationship Id="rId1" Type="http://schemas.openxmlformats.org/officeDocument/2006/relationships/chart" Target="../charts/chart3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chart" Target="../charts/chart36.xml"/><Relationship Id="rId4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chart" Target="../charts/chart40.xml"/><Relationship Id="rId4" Type="http://schemas.openxmlformats.org/officeDocument/2006/relationships/chart" Target="../charts/chart4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chart" Target="../charts/chart4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9.xml"/><Relationship Id="rId2" Type="http://schemas.openxmlformats.org/officeDocument/2006/relationships/chart" Target="../charts/chart48.xml"/><Relationship Id="rId1" Type="http://schemas.openxmlformats.org/officeDocument/2006/relationships/chart" Target="../charts/chart47.xml"/><Relationship Id="rId4" Type="http://schemas.openxmlformats.org/officeDocument/2006/relationships/chart" Target="../charts/chart5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3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3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38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39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4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4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4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4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3</xdr:col>
      <xdr:colOff>47625</xdr:colOff>
      <xdr:row>1</xdr:row>
      <xdr:rowOff>0</xdr:rowOff>
    </xdr:to>
    <xdr:graphicFrame macro="">
      <xdr:nvGraphicFramePr>
        <xdr:cNvPr id="20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4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46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2047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7</xdr:row>
      <xdr:rowOff>0</xdr:rowOff>
    </xdr:from>
    <xdr:to>
      <xdr:col>3</xdr:col>
      <xdr:colOff>47625</xdr:colOff>
      <xdr:row>7</xdr:row>
      <xdr:rowOff>0</xdr:rowOff>
    </xdr:to>
    <xdr:graphicFrame macro="">
      <xdr:nvGraphicFramePr>
        <xdr:cNvPr id="132710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5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3</xdr:col>
      <xdr:colOff>47625</xdr:colOff>
      <xdr:row>5</xdr:row>
      <xdr:rowOff>0</xdr:rowOff>
    </xdr:to>
    <xdr:graphicFrame macro="">
      <xdr:nvGraphicFramePr>
        <xdr:cNvPr id="4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1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4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5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6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3</xdr:col>
      <xdr:colOff>47625</xdr:colOff>
      <xdr:row>8</xdr:row>
      <xdr:rowOff>0</xdr:rowOff>
    </xdr:to>
    <xdr:graphicFrame macro="">
      <xdr:nvGraphicFramePr>
        <xdr:cNvPr id="5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</xdr:row>
      <xdr:rowOff>142875</xdr:rowOff>
    </xdr:from>
    <xdr:to>
      <xdr:col>7</xdr:col>
      <xdr:colOff>466725</xdr:colOff>
      <xdr:row>13</xdr:row>
      <xdr:rowOff>85725</xdr:rowOff>
    </xdr:to>
    <xdr:graphicFrame macro="">
      <xdr:nvGraphicFramePr>
        <xdr:cNvPr id="649289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15</xdr:row>
      <xdr:rowOff>47625</xdr:rowOff>
    </xdr:from>
    <xdr:to>
      <xdr:col>7</xdr:col>
      <xdr:colOff>466725</xdr:colOff>
      <xdr:row>25</xdr:row>
      <xdr:rowOff>0</xdr:rowOff>
    </xdr:to>
    <xdr:graphicFrame macro="">
      <xdr:nvGraphicFramePr>
        <xdr:cNvPr id="649290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161925</xdr:colOff>
      <xdr:row>27</xdr:row>
      <xdr:rowOff>66675</xdr:rowOff>
    </xdr:from>
    <xdr:to>
      <xdr:col>7</xdr:col>
      <xdr:colOff>466725</xdr:colOff>
      <xdr:row>41</xdr:row>
      <xdr:rowOff>76200</xdr:rowOff>
    </xdr:to>
    <xdr:graphicFrame macro="">
      <xdr:nvGraphicFramePr>
        <xdr:cNvPr id="649291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342900</xdr:colOff>
      <xdr:row>3</xdr:row>
      <xdr:rowOff>9525</xdr:rowOff>
    </xdr:from>
    <xdr:to>
      <xdr:col>13</xdr:col>
      <xdr:colOff>504825</xdr:colOff>
      <xdr:row>15</xdr:row>
      <xdr:rowOff>19050</xdr:rowOff>
    </xdr:to>
    <xdr:graphicFrame macro="">
      <xdr:nvGraphicFramePr>
        <xdr:cNvPr id="650335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16</xdr:row>
      <xdr:rowOff>114300</xdr:rowOff>
    </xdr:from>
    <xdr:to>
      <xdr:col>7</xdr:col>
      <xdr:colOff>9525</xdr:colOff>
      <xdr:row>29</xdr:row>
      <xdr:rowOff>95250</xdr:rowOff>
    </xdr:to>
    <xdr:graphicFrame macro="">
      <xdr:nvGraphicFramePr>
        <xdr:cNvPr id="65033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285750</xdr:colOff>
      <xdr:row>16</xdr:row>
      <xdr:rowOff>76200</xdr:rowOff>
    </xdr:from>
    <xdr:to>
      <xdr:col>13</xdr:col>
      <xdr:colOff>581025</xdr:colOff>
      <xdr:row>29</xdr:row>
      <xdr:rowOff>57150</xdr:rowOff>
    </xdr:to>
    <xdr:graphicFrame macro="">
      <xdr:nvGraphicFramePr>
        <xdr:cNvPr id="650337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51956</xdr:colOff>
      <xdr:row>3</xdr:row>
      <xdr:rowOff>51953</xdr:rowOff>
    </xdr:from>
    <xdr:to>
      <xdr:col>7</xdr:col>
      <xdr:colOff>0</xdr:colOff>
      <xdr:row>14</xdr:row>
      <xdr:rowOff>129886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16</xdr:row>
      <xdr:rowOff>133350</xdr:rowOff>
    </xdr:from>
    <xdr:to>
      <xdr:col>6</xdr:col>
      <xdr:colOff>447675</xdr:colOff>
      <xdr:row>28</xdr:row>
      <xdr:rowOff>104775</xdr:rowOff>
    </xdr:to>
    <xdr:graphicFrame macro="">
      <xdr:nvGraphicFramePr>
        <xdr:cNvPr id="69538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16</xdr:row>
      <xdr:rowOff>152400</xdr:rowOff>
    </xdr:from>
    <xdr:to>
      <xdr:col>13</xdr:col>
      <xdr:colOff>333375</xdr:colOff>
      <xdr:row>28</xdr:row>
      <xdr:rowOff>123825</xdr:rowOff>
    </xdr:to>
    <xdr:graphicFrame macro="">
      <xdr:nvGraphicFramePr>
        <xdr:cNvPr id="695386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1</xdr:row>
      <xdr:rowOff>190500</xdr:rowOff>
    </xdr:from>
    <xdr:to>
      <xdr:col>6</xdr:col>
      <xdr:colOff>457200</xdr:colOff>
      <xdr:row>15</xdr:row>
      <xdr:rowOff>9525</xdr:rowOff>
    </xdr:to>
    <xdr:graphicFrame macro="">
      <xdr:nvGraphicFramePr>
        <xdr:cNvPr id="695387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13</xdr:col>
      <xdr:colOff>361950</xdr:colOff>
      <xdr:row>15</xdr:row>
      <xdr:rowOff>9525</xdr:rowOff>
    </xdr:to>
    <xdr:graphicFrame macro="">
      <xdr:nvGraphicFramePr>
        <xdr:cNvPr id="695388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28575</xdr:rowOff>
    </xdr:from>
    <xdr:to>
      <xdr:col>8</xdr:col>
      <xdr:colOff>521805</xdr:colOff>
      <xdr:row>13</xdr:row>
      <xdr:rowOff>85725</xdr:rowOff>
    </xdr:to>
    <xdr:graphicFrame macro="">
      <xdr:nvGraphicFramePr>
        <xdr:cNvPr id="1281027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15</xdr:row>
      <xdr:rowOff>0</xdr:rowOff>
    </xdr:from>
    <xdr:to>
      <xdr:col>8</xdr:col>
      <xdr:colOff>538371</xdr:colOff>
      <xdr:row>26</xdr:row>
      <xdr:rowOff>9525</xdr:rowOff>
    </xdr:to>
    <xdr:graphicFrame macro="">
      <xdr:nvGraphicFramePr>
        <xdr:cNvPr id="1281028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27</xdr:row>
      <xdr:rowOff>180975</xdr:rowOff>
    </xdr:from>
    <xdr:to>
      <xdr:col>8</xdr:col>
      <xdr:colOff>533400</xdr:colOff>
      <xdr:row>37</xdr:row>
      <xdr:rowOff>41413</xdr:rowOff>
    </xdr:to>
    <xdr:graphicFrame macro="">
      <xdr:nvGraphicFramePr>
        <xdr:cNvPr id="1281029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180975</xdr:rowOff>
    </xdr:from>
    <xdr:to>
      <xdr:col>4</xdr:col>
      <xdr:colOff>209550</xdr:colOff>
      <xdr:row>16</xdr:row>
      <xdr:rowOff>134471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351693</xdr:colOff>
      <xdr:row>2</xdr:row>
      <xdr:rowOff>190499</xdr:rowOff>
    </xdr:from>
    <xdr:to>
      <xdr:col>8</xdr:col>
      <xdr:colOff>520212</xdr:colOff>
      <xdr:row>16</xdr:row>
      <xdr:rowOff>131884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402982</xdr:colOff>
      <xdr:row>21</xdr:row>
      <xdr:rowOff>102577</xdr:rowOff>
    </xdr:from>
    <xdr:to>
      <xdr:col>8</xdr:col>
      <xdr:colOff>520213</xdr:colOff>
      <xdr:row>35</xdr:row>
      <xdr:rowOff>153865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21</xdr:row>
      <xdr:rowOff>85725</xdr:rowOff>
    </xdr:from>
    <xdr:to>
      <xdr:col>4</xdr:col>
      <xdr:colOff>228600</xdr:colOff>
      <xdr:row>35</xdr:row>
      <xdr:rowOff>161925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hena11\zd_adr_sfr\Documents%20and%20Settings\mederly\Local%20Settings\Temporary%20Internet%20Files\OLK185F\struktura%20zamestnancov%20po%20fakultach_PM%2004-12-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y"/>
      <sheetName val="struktura profesorov"/>
      <sheetName val="struktura docentov"/>
      <sheetName val="T7-systemizacia po fakultach"/>
      <sheetName val="T8-vek profesorov"/>
      <sheetName val="T9-vek docentov"/>
      <sheetName val="10-ostatní_s_PhD"/>
      <sheetName val="studetni verzus miesta"/>
      <sheetName val="vahy"/>
      <sheetName val="nepublikova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1">
          <cell r="B1">
            <v>1</v>
          </cell>
        </row>
        <row r="2">
          <cell r="B2">
            <v>0.3</v>
          </cell>
        </row>
        <row r="3">
          <cell r="B3">
            <v>3</v>
          </cell>
        </row>
        <row r="4">
          <cell r="B4">
            <v>0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7"/>
  <sheetViews>
    <sheetView tabSelected="1" workbookViewId="0"/>
  </sheetViews>
  <sheetFormatPr defaultRowHeight="15" x14ac:dyDescent="0.25"/>
  <cols>
    <col min="1" max="1" width="80.28515625" bestFit="1" customWidth="1"/>
  </cols>
  <sheetData>
    <row r="2" spans="1:1" ht="23.25" x14ac:dyDescent="0.25">
      <c r="A2" s="40" t="s">
        <v>514</v>
      </c>
    </row>
    <row r="3" spans="1:1" ht="23.25" x14ac:dyDescent="0.25">
      <c r="A3" s="40" t="s">
        <v>121</v>
      </c>
    </row>
    <row r="4" spans="1:1" ht="23.25" x14ac:dyDescent="0.35">
      <c r="A4" s="41"/>
    </row>
    <row r="5" spans="1:1" ht="23.25" x14ac:dyDescent="0.35">
      <c r="A5" s="41"/>
    </row>
    <row r="6" spans="1:1" ht="23.25" x14ac:dyDescent="0.35">
      <c r="A6" s="41"/>
    </row>
    <row r="7" spans="1:1" ht="23.25" x14ac:dyDescent="0.35">
      <c r="A7" s="41"/>
    </row>
  </sheetData>
  <phoneticPr fontId="49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C28" sqref="C28"/>
    </sheetView>
  </sheetViews>
  <sheetFormatPr defaultRowHeight="15" x14ac:dyDescent="0.25"/>
  <cols>
    <col min="1" max="1" width="11.140625" style="22" customWidth="1"/>
    <col min="2" max="10" width="13.140625" customWidth="1"/>
  </cols>
  <sheetData>
    <row r="1" spans="1:10" ht="47.25" customHeight="1" thickBot="1" x14ac:dyDescent="0.3">
      <c r="A1" s="985" t="s">
        <v>184</v>
      </c>
      <c r="B1" s="985"/>
      <c r="C1" s="985"/>
      <c r="D1" s="985"/>
      <c r="E1" s="985"/>
      <c r="F1" s="985"/>
      <c r="G1" s="985"/>
      <c r="H1" s="985"/>
      <c r="I1" s="985"/>
      <c r="J1" s="985"/>
    </row>
    <row r="2" spans="1:10" x14ac:dyDescent="0.25">
      <c r="A2" s="282" t="s">
        <v>112</v>
      </c>
      <c r="B2" s="968" t="s">
        <v>113</v>
      </c>
      <c r="C2" s="986"/>
      <c r="D2" s="969"/>
      <c r="E2" s="968" t="s">
        <v>114</v>
      </c>
      <c r="F2" s="986"/>
      <c r="G2" s="969"/>
      <c r="H2" s="968" t="s">
        <v>115</v>
      </c>
      <c r="I2" s="986"/>
      <c r="J2" s="969"/>
    </row>
    <row r="3" spans="1:10" ht="15.75" thickBot="1" x14ac:dyDescent="0.3">
      <c r="A3" s="283"/>
      <c r="B3" s="284" t="s">
        <v>91</v>
      </c>
      <c r="C3" s="285" t="s">
        <v>93</v>
      </c>
      <c r="D3" s="286" t="s">
        <v>92</v>
      </c>
      <c r="E3" s="284" t="s">
        <v>91</v>
      </c>
      <c r="F3" s="285" t="s">
        <v>93</v>
      </c>
      <c r="G3" s="286" t="s">
        <v>92</v>
      </c>
      <c r="H3" s="284" t="s">
        <v>91</v>
      </c>
      <c r="I3" s="285" t="s">
        <v>93</v>
      </c>
      <c r="J3" s="287" t="s">
        <v>92</v>
      </c>
    </row>
    <row r="4" spans="1:10" ht="15.75" thickBot="1" x14ac:dyDescent="0.3">
      <c r="A4" s="288" t="s">
        <v>116</v>
      </c>
      <c r="B4" s="982">
        <v>2007</v>
      </c>
      <c r="C4" s="983"/>
      <c r="D4" s="983"/>
      <c r="E4" s="983"/>
      <c r="F4" s="983"/>
      <c r="G4" s="983"/>
      <c r="H4" s="983"/>
      <c r="I4" s="983"/>
      <c r="J4" s="984"/>
    </row>
    <row r="5" spans="1:10" x14ac:dyDescent="0.25">
      <c r="A5" s="289" t="s">
        <v>117</v>
      </c>
      <c r="B5" s="275">
        <v>38983</v>
      </c>
      <c r="C5" s="290">
        <v>42202</v>
      </c>
      <c r="D5" s="291">
        <v>0.48017490915809569</v>
      </c>
      <c r="E5" s="275">
        <v>36965</v>
      </c>
      <c r="F5" s="290">
        <v>16242</v>
      </c>
      <c r="G5" s="291">
        <v>0.69473941398688144</v>
      </c>
      <c r="H5" s="275">
        <v>4206</v>
      </c>
      <c r="I5" s="290">
        <v>27652</v>
      </c>
      <c r="J5" s="291">
        <v>0.13202335363174084</v>
      </c>
    </row>
    <row r="6" spans="1:10" x14ac:dyDescent="0.25">
      <c r="A6" s="292" t="s">
        <v>66</v>
      </c>
      <c r="B6" s="277">
        <v>32663</v>
      </c>
      <c r="C6" s="293">
        <v>32497</v>
      </c>
      <c r="D6" s="294">
        <v>0.50127378759975449</v>
      </c>
      <c r="E6" s="277">
        <v>30382</v>
      </c>
      <c r="F6" s="293">
        <v>11647</v>
      </c>
      <c r="G6" s="294">
        <v>0.72288181969592424</v>
      </c>
      <c r="H6" s="277">
        <v>3289</v>
      </c>
      <c r="I6" s="293">
        <v>21399</v>
      </c>
      <c r="J6" s="294">
        <v>0.13322261827608556</v>
      </c>
    </row>
    <row r="7" spans="1:10" ht="15.75" thickBot="1" x14ac:dyDescent="0.3">
      <c r="A7" s="295" t="s">
        <v>69</v>
      </c>
      <c r="B7" s="279">
        <v>29773</v>
      </c>
      <c r="C7" s="296">
        <v>28822</v>
      </c>
      <c r="D7" s="297">
        <v>0.50811502687942656</v>
      </c>
      <c r="E7" s="279">
        <v>27687</v>
      </c>
      <c r="F7" s="296">
        <v>9928</v>
      </c>
      <c r="G7" s="297">
        <v>0.73606274092782131</v>
      </c>
      <c r="H7" s="279">
        <v>2236</v>
      </c>
      <c r="I7" s="296">
        <v>18991</v>
      </c>
      <c r="J7" s="297">
        <v>0.10533754180995901</v>
      </c>
    </row>
    <row r="8" spans="1:10" ht="15.75" thickBot="1" x14ac:dyDescent="0.3">
      <c r="A8" s="288" t="s">
        <v>116</v>
      </c>
      <c r="B8" s="982">
        <v>2008</v>
      </c>
      <c r="C8" s="983"/>
      <c r="D8" s="983"/>
      <c r="E8" s="983"/>
      <c r="F8" s="983"/>
      <c r="G8" s="983"/>
      <c r="H8" s="983"/>
      <c r="I8" s="983"/>
      <c r="J8" s="984"/>
    </row>
    <row r="9" spans="1:10" x14ac:dyDescent="0.25">
      <c r="A9" s="289" t="s">
        <v>117</v>
      </c>
      <c r="B9" s="275">
        <v>38407</v>
      </c>
      <c r="C9" s="290">
        <v>38153</v>
      </c>
      <c r="D9" s="291">
        <v>0.50165882967607101</v>
      </c>
      <c r="E9" s="275">
        <v>36259</v>
      </c>
      <c r="F9" s="290">
        <v>15070</v>
      </c>
      <c r="G9" s="291">
        <v>0.70640378733269693</v>
      </c>
      <c r="H9" s="275">
        <v>4223</v>
      </c>
      <c r="I9" s="290">
        <v>24557</v>
      </c>
      <c r="J9" s="291">
        <v>0.14673384294649061</v>
      </c>
    </row>
    <row r="10" spans="1:10" x14ac:dyDescent="0.25">
      <c r="A10" s="292" t="s">
        <v>66</v>
      </c>
      <c r="B10" s="277">
        <v>31952</v>
      </c>
      <c r="C10" s="293">
        <v>29753</v>
      </c>
      <c r="D10" s="294">
        <v>0.5178186532695892</v>
      </c>
      <c r="E10" s="277">
        <v>29321</v>
      </c>
      <c r="F10" s="293">
        <v>10563</v>
      </c>
      <c r="G10" s="294">
        <v>0.73515695516999302</v>
      </c>
      <c r="H10" s="277">
        <v>3977</v>
      </c>
      <c r="I10" s="293">
        <v>19730</v>
      </c>
      <c r="J10" s="294">
        <v>0.16775635888134308</v>
      </c>
    </row>
    <row r="11" spans="1:10" ht="15.75" thickBot="1" x14ac:dyDescent="0.3">
      <c r="A11" s="295" t="s">
        <v>69</v>
      </c>
      <c r="B11" s="279">
        <v>29074</v>
      </c>
      <c r="C11" s="296">
        <v>26741</v>
      </c>
      <c r="D11" s="297">
        <v>0.52089939980292033</v>
      </c>
      <c r="E11" s="279">
        <v>26559</v>
      </c>
      <c r="F11" s="296">
        <v>9058</v>
      </c>
      <c r="G11" s="297">
        <v>0.74568324114888962</v>
      </c>
      <c r="H11" s="279">
        <v>2802</v>
      </c>
      <c r="I11" s="296">
        <v>17804</v>
      </c>
      <c r="J11" s="297">
        <v>0.13597981170532855</v>
      </c>
    </row>
    <row r="12" spans="1:10" ht="15.75" thickBot="1" x14ac:dyDescent="0.3">
      <c r="A12" s="288" t="s">
        <v>116</v>
      </c>
      <c r="B12" s="982">
        <v>2009</v>
      </c>
      <c r="C12" s="983"/>
      <c r="D12" s="983"/>
      <c r="E12" s="983"/>
      <c r="F12" s="983"/>
      <c r="G12" s="983"/>
      <c r="H12" s="983"/>
      <c r="I12" s="983"/>
      <c r="J12" s="984"/>
    </row>
    <row r="13" spans="1:10" x14ac:dyDescent="0.25">
      <c r="A13" s="289" t="s">
        <v>117</v>
      </c>
      <c r="B13" s="275">
        <v>38628</v>
      </c>
      <c r="C13" s="290">
        <v>37001</v>
      </c>
      <c r="D13" s="291">
        <v>0.51075645585688034</v>
      </c>
      <c r="E13" s="275">
        <v>36824</v>
      </c>
      <c r="F13" s="290">
        <v>17480</v>
      </c>
      <c r="G13" s="291">
        <v>0.67810842663523863</v>
      </c>
      <c r="H13" s="275">
        <v>3587</v>
      </c>
      <c r="I13" s="290">
        <v>21133</v>
      </c>
      <c r="J13" s="291">
        <v>0.14510517799352751</v>
      </c>
    </row>
    <row r="14" spans="1:10" x14ac:dyDescent="0.25">
      <c r="A14" s="292" t="s">
        <v>66</v>
      </c>
      <c r="B14" s="277">
        <v>31877</v>
      </c>
      <c r="C14" s="293">
        <v>28287</v>
      </c>
      <c r="D14" s="294">
        <v>0.52983511734592115</v>
      </c>
      <c r="E14" s="277">
        <v>29726</v>
      </c>
      <c r="F14" s="293">
        <v>12393</v>
      </c>
      <c r="G14" s="294">
        <v>0.7057622450675467</v>
      </c>
      <c r="H14" s="277">
        <v>3218</v>
      </c>
      <c r="I14" s="293">
        <v>16424</v>
      </c>
      <c r="J14" s="294">
        <v>0.16383260360452093</v>
      </c>
    </row>
    <row r="15" spans="1:10" ht="15.75" thickBot="1" x14ac:dyDescent="0.3">
      <c r="A15" s="295" t="s">
        <v>69</v>
      </c>
      <c r="B15" s="279">
        <v>28768</v>
      </c>
      <c r="C15" s="296">
        <v>24595</v>
      </c>
      <c r="D15" s="297">
        <v>0.53910012555515996</v>
      </c>
      <c r="E15" s="279">
        <v>26870</v>
      </c>
      <c r="F15" s="296">
        <v>10873</v>
      </c>
      <c r="G15" s="297">
        <v>0.71192009114272847</v>
      </c>
      <c r="H15" s="279">
        <v>2042</v>
      </c>
      <c r="I15" s="296">
        <v>13791</v>
      </c>
      <c r="J15" s="297">
        <v>0.12897113623444703</v>
      </c>
    </row>
    <row r="16" spans="1:10" ht="15.75" thickBot="1" x14ac:dyDescent="0.3">
      <c r="A16" s="288" t="s">
        <v>116</v>
      </c>
      <c r="B16" s="982">
        <v>2010</v>
      </c>
      <c r="C16" s="983"/>
      <c r="D16" s="983"/>
      <c r="E16" s="983"/>
      <c r="F16" s="983"/>
      <c r="G16" s="983"/>
      <c r="H16" s="983"/>
      <c r="I16" s="983"/>
      <c r="J16" s="984"/>
    </row>
    <row r="17" spans="1:10" x14ac:dyDescent="0.25">
      <c r="A17" s="289" t="s">
        <v>117</v>
      </c>
      <c r="B17" s="275">
        <v>38746</v>
      </c>
      <c r="C17" s="290">
        <v>34313</v>
      </c>
      <c r="D17" s="291">
        <v>0.53033849354631191</v>
      </c>
      <c r="E17" s="275">
        <v>36948</v>
      </c>
      <c r="F17" s="290">
        <v>15743</v>
      </c>
      <c r="G17" s="291">
        <v>0.70122032225617281</v>
      </c>
      <c r="H17" s="275">
        <v>3550</v>
      </c>
      <c r="I17" s="290">
        <v>19918</v>
      </c>
      <c r="J17" s="291">
        <v>0.15126981421510141</v>
      </c>
    </row>
    <row r="18" spans="1:10" x14ac:dyDescent="0.25">
      <c r="A18" s="292" t="s">
        <v>66</v>
      </c>
      <c r="B18" s="277">
        <v>30281</v>
      </c>
      <c r="C18" s="293">
        <v>25321</v>
      </c>
      <c r="D18" s="294">
        <v>0.5446027121326571</v>
      </c>
      <c r="E18" s="277">
        <v>27852</v>
      </c>
      <c r="F18" s="293">
        <v>10012</v>
      </c>
      <c r="G18" s="294">
        <v>0.73557997042045209</v>
      </c>
      <c r="H18" s="277">
        <v>3296</v>
      </c>
      <c r="I18" s="293">
        <v>15717</v>
      </c>
      <c r="J18" s="294">
        <v>0.1733550728448956</v>
      </c>
    </row>
    <row r="19" spans="1:10" ht="15.75" thickBot="1" x14ac:dyDescent="0.3">
      <c r="A19" s="295" t="s">
        <v>69</v>
      </c>
      <c r="B19" s="279">
        <v>27249</v>
      </c>
      <c r="C19" s="296">
        <v>21897</v>
      </c>
      <c r="D19" s="297">
        <v>0.55445000610426076</v>
      </c>
      <c r="E19" s="279">
        <v>25182</v>
      </c>
      <c r="F19" s="296">
        <v>8772</v>
      </c>
      <c r="G19" s="297">
        <v>0.74165046828061498</v>
      </c>
      <c r="H19" s="279">
        <v>2169</v>
      </c>
      <c r="I19" s="296">
        <v>13159</v>
      </c>
      <c r="J19" s="297">
        <v>0.14150574112734865</v>
      </c>
    </row>
    <row r="20" spans="1:10" x14ac:dyDescent="0.25">
      <c r="A20" s="298"/>
      <c r="B20" s="118"/>
      <c r="C20" s="118"/>
      <c r="D20" s="118"/>
      <c r="E20" s="118"/>
      <c r="F20" s="118"/>
      <c r="G20" s="118"/>
      <c r="H20" s="118"/>
      <c r="I20" s="118"/>
      <c r="J20" s="118"/>
    </row>
    <row r="21" spans="1:10" x14ac:dyDescent="0.25">
      <c r="J21" s="29" t="s">
        <v>28</v>
      </c>
    </row>
  </sheetData>
  <mergeCells count="8">
    <mergeCell ref="B16:J16"/>
    <mergeCell ref="A1:J1"/>
    <mergeCell ref="B4:J4"/>
    <mergeCell ref="B8:J8"/>
    <mergeCell ref="B12:J12"/>
    <mergeCell ref="B2:D2"/>
    <mergeCell ref="E2:G2"/>
    <mergeCell ref="H2:J2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view="pageBreakPreview" topLeftCell="A46" zoomScale="85" zoomScaleNormal="100" zoomScaleSheetLayoutView="85" workbookViewId="0">
      <selection activeCell="D7" sqref="D7"/>
    </sheetView>
  </sheetViews>
  <sheetFormatPr defaultRowHeight="15" x14ac:dyDescent="0.25"/>
  <cols>
    <col min="1" max="1" width="18.7109375" style="39" customWidth="1"/>
    <col min="2" max="3" width="8.85546875" style="39" customWidth="1"/>
    <col min="4" max="4" width="7.140625" style="39" customWidth="1"/>
    <col min="5" max="6" width="8.85546875" style="39" customWidth="1"/>
    <col min="7" max="7" width="7.140625" style="39" customWidth="1"/>
    <col min="8" max="9" width="8.85546875" style="39" customWidth="1"/>
    <col min="10" max="10" width="7.140625" style="39" customWidth="1"/>
    <col min="11" max="16384" width="9.140625" style="39"/>
  </cols>
  <sheetData>
    <row r="1" spans="1:10" ht="47.25" customHeight="1" thickBot="1" x14ac:dyDescent="0.4">
      <c r="A1" s="987" t="s">
        <v>185</v>
      </c>
      <c r="B1" s="987"/>
      <c r="C1" s="987"/>
      <c r="D1" s="987"/>
      <c r="E1" s="987"/>
      <c r="F1" s="987"/>
      <c r="G1" s="987"/>
      <c r="H1" s="987"/>
      <c r="I1" s="987"/>
      <c r="J1" s="987"/>
    </row>
    <row r="2" spans="1:10" ht="15.75" thickBot="1" x14ac:dyDescent="0.3">
      <c r="A2" s="887" t="s">
        <v>112</v>
      </c>
      <c r="B2" s="988" t="s">
        <v>114</v>
      </c>
      <c r="C2" s="989"/>
      <c r="D2" s="990"/>
      <c r="E2" s="988" t="s">
        <v>115</v>
      </c>
      <c r="F2" s="989"/>
      <c r="G2" s="990"/>
      <c r="H2" s="988" t="s">
        <v>113</v>
      </c>
      <c r="I2" s="989"/>
      <c r="J2" s="990"/>
    </row>
    <row r="3" spans="1:10" x14ac:dyDescent="0.25">
      <c r="A3" s="999" t="s">
        <v>56</v>
      </c>
      <c r="B3" s="988" t="s">
        <v>94</v>
      </c>
      <c r="C3" s="989"/>
      <c r="D3" s="990"/>
      <c r="E3" s="988" t="s">
        <v>94</v>
      </c>
      <c r="F3" s="989"/>
      <c r="G3" s="990"/>
      <c r="H3" s="988" t="s">
        <v>94</v>
      </c>
      <c r="I3" s="989"/>
      <c r="J3" s="990"/>
    </row>
    <row r="4" spans="1:10" x14ac:dyDescent="0.25">
      <c r="A4" s="1000"/>
      <c r="B4" s="996" t="s">
        <v>95</v>
      </c>
      <c r="C4" s="997"/>
      <c r="D4" s="998"/>
      <c r="E4" s="996" t="s">
        <v>95</v>
      </c>
      <c r="F4" s="997"/>
      <c r="G4" s="998"/>
      <c r="H4" s="996" t="s">
        <v>95</v>
      </c>
      <c r="I4" s="997"/>
      <c r="J4" s="998"/>
    </row>
    <row r="5" spans="1:10" ht="15" customHeight="1" x14ac:dyDescent="0.25">
      <c r="A5" s="1000"/>
      <c r="B5" s="994" t="s">
        <v>96</v>
      </c>
      <c r="C5" s="299" t="s">
        <v>118</v>
      </c>
      <c r="D5" s="300"/>
      <c r="E5" s="994" t="s">
        <v>96</v>
      </c>
      <c r="F5" s="299" t="s">
        <v>118</v>
      </c>
      <c r="G5" s="300"/>
      <c r="H5" s="994" t="s">
        <v>96</v>
      </c>
      <c r="I5" s="299" t="s">
        <v>118</v>
      </c>
      <c r="J5" s="300"/>
    </row>
    <row r="6" spans="1:10" ht="74.25" thickBot="1" x14ac:dyDescent="0.3">
      <c r="A6" s="1001"/>
      <c r="B6" s="995"/>
      <c r="C6" s="301" t="s">
        <v>78</v>
      </c>
      <c r="D6" s="302" t="s">
        <v>119</v>
      </c>
      <c r="E6" s="995"/>
      <c r="F6" s="301" t="s">
        <v>78</v>
      </c>
      <c r="G6" s="302" t="s">
        <v>119</v>
      </c>
      <c r="H6" s="995"/>
      <c r="I6" s="301" t="s">
        <v>78</v>
      </c>
      <c r="J6" s="302" t="s">
        <v>119</v>
      </c>
    </row>
    <row r="7" spans="1:10" x14ac:dyDescent="0.25">
      <c r="A7" s="993" t="s">
        <v>29</v>
      </c>
      <c r="B7" s="312">
        <v>3812</v>
      </c>
      <c r="C7" s="313">
        <v>3048</v>
      </c>
      <c r="D7" s="314">
        <f>C7/B7</f>
        <v>0.79958027282266531</v>
      </c>
      <c r="E7" s="312">
        <v>1139</v>
      </c>
      <c r="F7" s="313">
        <v>706</v>
      </c>
      <c r="G7" s="314">
        <f>F7/E7</f>
        <v>0.61984196663740121</v>
      </c>
      <c r="H7" s="315">
        <v>4951</v>
      </c>
      <c r="I7" s="320">
        <v>3754</v>
      </c>
      <c r="J7" s="314">
        <f>I7/H7</f>
        <v>0.75823066047263177</v>
      </c>
    </row>
    <row r="8" spans="1:10" x14ac:dyDescent="0.25">
      <c r="A8" s="992"/>
      <c r="B8" s="303">
        <v>2623</v>
      </c>
      <c r="C8" s="304">
        <v>2318</v>
      </c>
      <c r="D8" s="305">
        <f t="shared" ref="D8:D62" si="0">C8/B8</f>
        <v>0.88372093023255816</v>
      </c>
      <c r="E8" s="303">
        <v>822</v>
      </c>
      <c r="F8" s="304">
        <v>557</v>
      </c>
      <c r="G8" s="305">
        <f t="shared" ref="G8:G62" si="1">F8/E8</f>
        <v>0.67761557177615572</v>
      </c>
      <c r="H8" s="316">
        <v>3445</v>
      </c>
      <c r="I8" s="311">
        <v>2875</v>
      </c>
      <c r="J8" s="305">
        <f t="shared" ref="J8:J62" si="2">I8/H8</f>
        <v>0.83454281567489119</v>
      </c>
    </row>
    <row r="9" spans="1:10" x14ac:dyDescent="0.25">
      <c r="A9" s="991" t="s">
        <v>30</v>
      </c>
      <c r="B9" s="303">
        <v>3880</v>
      </c>
      <c r="C9" s="304">
        <v>3144</v>
      </c>
      <c r="D9" s="305">
        <f t="shared" si="0"/>
        <v>0.81030927835051547</v>
      </c>
      <c r="E9" s="303">
        <v>0</v>
      </c>
      <c r="F9" s="304">
        <v>0</v>
      </c>
      <c r="G9" s="306" t="s">
        <v>120</v>
      </c>
      <c r="H9" s="316">
        <v>3880</v>
      </c>
      <c r="I9" s="311">
        <v>3144</v>
      </c>
      <c r="J9" s="305">
        <f t="shared" si="2"/>
        <v>0.81030927835051547</v>
      </c>
    </row>
    <row r="10" spans="1:10" x14ac:dyDescent="0.25">
      <c r="A10" s="992"/>
      <c r="B10" s="303">
        <v>2820</v>
      </c>
      <c r="C10" s="304">
        <v>2427</v>
      </c>
      <c r="D10" s="305">
        <f t="shared" si="0"/>
        <v>0.86063829787234047</v>
      </c>
      <c r="E10" s="303">
        <v>0</v>
      </c>
      <c r="F10" s="304">
        <v>0</v>
      </c>
      <c r="G10" s="306" t="s">
        <v>120</v>
      </c>
      <c r="H10" s="316">
        <v>2820</v>
      </c>
      <c r="I10" s="311">
        <v>2427</v>
      </c>
      <c r="J10" s="305">
        <f t="shared" si="2"/>
        <v>0.86063829787234047</v>
      </c>
    </row>
    <row r="11" spans="1:10" x14ac:dyDescent="0.25">
      <c r="A11" s="991" t="s">
        <v>33</v>
      </c>
      <c r="B11" s="303">
        <v>2575</v>
      </c>
      <c r="C11" s="304">
        <v>2138</v>
      </c>
      <c r="D11" s="305">
        <f t="shared" si="0"/>
        <v>0.8302912621359223</v>
      </c>
      <c r="E11" s="303">
        <v>1080</v>
      </c>
      <c r="F11" s="304">
        <v>535</v>
      </c>
      <c r="G11" s="305">
        <f t="shared" si="1"/>
        <v>0.49537037037037035</v>
      </c>
      <c r="H11" s="316">
        <v>3655</v>
      </c>
      <c r="I11" s="311">
        <v>2673</v>
      </c>
      <c r="J11" s="305">
        <f t="shared" si="2"/>
        <v>0.7313269493844049</v>
      </c>
    </row>
    <row r="12" spans="1:10" x14ac:dyDescent="0.25">
      <c r="A12" s="992"/>
      <c r="B12" s="303">
        <v>1757</v>
      </c>
      <c r="C12" s="304">
        <v>1664</v>
      </c>
      <c r="D12" s="305">
        <f t="shared" si="0"/>
        <v>0.94706886738759244</v>
      </c>
      <c r="E12" s="303">
        <v>456</v>
      </c>
      <c r="F12" s="304">
        <v>347</v>
      </c>
      <c r="G12" s="305">
        <f t="shared" si="1"/>
        <v>0.76096491228070173</v>
      </c>
      <c r="H12" s="316">
        <v>2213</v>
      </c>
      <c r="I12" s="311">
        <v>2011</v>
      </c>
      <c r="J12" s="305">
        <f t="shared" si="2"/>
        <v>0.9087211929507456</v>
      </c>
    </row>
    <row r="13" spans="1:10" x14ac:dyDescent="0.25">
      <c r="A13" s="991" t="s">
        <v>38</v>
      </c>
      <c r="B13" s="303">
        <v>1392</v>
      </c>
      <c r="C13" s="304">
        <v>1196</v>
      </c>
      <c r="D13" s="305">
        <f t="shared" si="0"/>
        <v>0.85919540229885061</v>
      </c>
      <c r="E13" s="303">
        <v>849</v>
      </c>
      <c r="F13" s="304">
        <v>527</v>
      </c>
      <c r="G13" s="305">
        <f t="shared" si="1"/>
        <v>0.62073027090694932</v>
      </c>
      <c r="H13" s="316">
        <v>2241</v>
      </c>
      <c r="I13" s="311">
        <v>1723</v>
      </c>
      <c r="J13" s="305">
        <f t="shared" si="2"/>
        <v>0.7688531905399375</v>
      </c>
    </row>
    <row r="14" spans="1:10" x14ac:dyDescent="0.25">
      <c r="A14" s="992"/>
      <c r="B14" s="303">
        <v>1212</v>
      </c>
      <c r="C14" s="304">
        <v>1125</v>
      </c>
      <c r="D14" s="305">
        <f t="shared" si="0"/>
        <v>0.92821782178217827</v>
      </c>
      <c r="E14" s="303">
        <v>624</v>
      </c>
      <c r="F14" s="304">
        <v>489</v>
      </c>
      <c r="G14" s="305">
        <f t="shared" si="1"/>
        <v>0.78365384615384615</v>
      </c>
      <c r="H14" s="316">
        <v>1836</v>
      </c>
      <c r="I14" s="311">
        <v>1614</v>
      </c>
      <c r="J14" s="305">
        <f t="shared" si="2"/>
        <v>0.87908496732026142</v>
      </c>
    </row>
    <row r="15" spans="1:10" x14ac:dyDescent="0.25">
      <c r="A15" s="991" t="s">
        <v>44</v>
      </c>
      <c r="B15" s="303">
        <v>618</v>
      </c>
      <c r="C15" s="304">
        <v>494</v>
      </c>
      <c r="D15" s="305">
        <f t="shared" si="0"/>
        <v>0.79935275080906154</v>
      </c>
      <c r="E15" s="303">
        <v>490</v>
      </c>
      <c r="F15" s="304">
        <v>258</v>
      </c>
      <c r="G15" s="305">
        <f t="shared" si="1"/>
        <v>0.52653061224489794</v>
      </c>
      <c r="H15" s="316">
        <v>1108</v>
      </c>
      <c r="I15" s="311">
        <v>752</v>
      </c>
      <c r="J15" s="305">
        <f t="shared" si="2"/>
        <v>0.67870036101083031</v>
      </c>
    </row>
    <row r="16" spans="1:10" x14ac:dyDescent="0.25">
      <c r="A16" s="992"/>
      <c r="B16" s="303">
        <v>522</v>
      </c>
      <c r="C16" s="304">
        <v>456</v>
      </c>
      <c r="D16" s="305">
        <f t="shared" si="0"/>
        <v>0.87356321839080464</v>
      </c>
      <c r="E16" s="303">
        <v>321</v>
      </c>
      <c r="F16" s="304">
        <v>212</v>
      </c>
      <c r="G16" s="305">
        <f t="shared" si="1"/>
        <v>0.66043613707165105</v>
      </c>
      <c r="H16" s="316">
        <v>843</v>
      </c>
      <c r="I16" s="311">
        <v>668</v>
      </c>
      <c r="J16" s="305">
        <f t="shared" si="2"/>
        <v>0.79240806642941874</v>
      </c>
    </row>
    <row r="17" spans="1:10" x14ac:dyDescent="0.25">
      <c r="A17" s="991" t="s">
        <v>52</v>
      </c>
      <c r="B17" s="303">
        <v>163</v>
      </c>
      <c r="C17" s="304">
        <v>93</v>
      </c>
      <c r="D17" s="305">
        <f t="shared" si="0"/>
        <v>0.57055214723926384</v>
      </c>
      <c r="E17" s="303">
        <v>0</v>
      </c>
      <c r="F17" s="304">
        <v>0</v>
      </c>
      <c r="G17" s="306" t="s">
        <v>120</v>
      </c>
      <c r="H17" s="316">
        <v>163</v>
      </c>
      <c r="I17" s="311">
        <v>93</v>
      </c>
      <c r="J17" s="305">
        <f t="shared" si="2"/>
        <v>0.57055214723926384</v>
      </c>
    </row>
    <row r="18" spans="1:10" x14ac:dyDescent="0.25">
      <c r="A18" s="992"/>
      <c r="B18" s="303">
        <v>100</v>
      </c>
      <c r="C18" s="304">
        <v>76</v>
      </c>
      <c r="D18" s="305">
        <f t="shared" si="0"/>
        <v>0.76</v>
      </c>
      <c r="E18" s="303">
        <v>0</v>
      </c>
      <c r="F18" s="304">
        <v>0</v>
      </c>
      <c r="G18" s="306" t="s">
        <v>120</v>
      </c>
      <c r="H18" s="316">
        <v>100</v>
      </c>
      <c r="I18" s="311">
        <v>76</v>
      </c>
      <c r="J18" s="305">
        <f t="shared" si="2"/>
        <v>0.76</v>
      </c>
    </row>
    <row r="19" spans="1:10" x14ac:dyDescent="0.25">
      <c r="A19" s="991" t="s">
        <v>49</v>
      </c>
      <c r="B19" s="303">
        <v>229</v>
      </c>
      <c r="C19" s="304">
        <v>185</v>
      </c>
      <c r="D19" s="305">
        <f t="shared" si="0"/>
        <v>0.80786026200873362</v>
      </c>
      <c r="E19" s="303">
        <v>0</v>
      </c>
      <c r="F19" s="304">
        <v>0</v>
      </c>
      <c r="G19" s="306" t="s">
        <v>120</v>
      </c>
      <c r="H19" s="316">
        <v>229</v>
      </c>
      <c r="I19" s="311">
        <v>185</v>
      </c>
      <c r="J19" s="305">
        <f t="shared" si="2"/>
        <v>0.80786026200873362</v>
      </c>
    </row>
    <row r="20" spans="1:10" x14ac:dyDescent="0.25">
      <c r="A20" s="992"/>
      <c r="B20" s="303">
        <v>158</v>
      </c>
      <c r="C20" s="304">
        <v>140</v>
      </c>
      <c r="D20" s="305">
        <f t="shared" si="0"/>
        <v>0.88607594936708856</v>
      </c>
      <c r="E20" s="303">
        <v>0</v>
      </c>
      <c r="F20" s="304">
        <v>0</v>
      </c>
      <c r="G20" s="306" t="s">
        <v>120</v>
      </c>
      <c r="H20" s="316">
        <v>158</v>
      </c>
      <c r="I20" s="311">
        <v>140</v>
      </c>
      <c r="J20" s="305">
        <f t="shared" si="2"/>
        <v>0.88607594936708856</v>
      </c>
    </row>
    <row r="21" spans="1:10" x14ac:dyDescent="0.25">
      <c r="A21" s="991" t="s">
        <v>181</v>
      </c>
      <c r="B21" s="303">
        <v>6</v>
      </c>
      <c r="C21" s="304">
        <v>3</v>
      </c>
      <c r="D21" s="305">
        <f>C21/B21</f>
        <v>0.5</v>
      </c>
      <c r="E21" s="303">
        <v>7</v>
      </c>
      <c r="F21" s="304">
        <v>0</v>
      </c>
      <c r="G21" s="305">
        <f>F21/E21</f>
        <v>0</v>
      </c>
      <c r="H21" s="316">
        <v>13</v>
      </c>
      <c r="I21" s="311">
        <v>3</v>
      </c>
      <c r="J21" s="305">
        <f>I21/H21</f>
        <v>0.23076923076923078</v>
      </c>
    </row>
    <row r="22" spans="1:10" x14ac:dyDescent="0.25">
      <c r="A22" s="992"/>
      <c r="B22" s="303">
        <v>6</v>
      </c>
      <c r="C22" s="304">
        <v>3</v>
      </c>
      <c r="D22" s="305">
        <f>C22/B22</f>
        <v>0.5</v>
      </c>
      <c r="E22" s="303">
        <v>5</v>
      </c>
      <c r="F22" s="304">
        <v>0</v>
      </c>
      <c r="G22" s="305">
        <f>F22/E22</f>
        <v>0</v>
      </c>
      <c r="H22" s="316">
        <v>11</v>
      </c>
      <c r="I22" s="311">
        <v>3</v>
      </c>
      <c r="J22" s="305">
        <f>I22/H22</f>
        <v>0.27272727272727271</v>
      </c>
    </row>
    <row r="23" spans="1:10" x14ac:dyDescent="0.25">
      <c r="A23" s="991" t="s">
        <v>31</v>
      </c>
      <c r="B23" s="303">
        <v>2294</v>
      </c>
      <c r="C23" s="304">
        <v>2227</v>
      </c>
      <c r="D23" s="305">
        <f t="shared" si="0"/>
        <v>0.97079337401918042</v>
      </c>
      <c r="E23" s="303">
        <v>746</v>
      </c>
      <c r="F23" s="304">
        <v>626</v>
      </c>
      <c r="G23" s="305">
        <f t="shared" si="1"/>
        <v>0.83914209115281502</v>
      </c>
      <c r="H23" s="316">
        <v>3040</v>
      </c>
      <c r="I23" s="311">
        <v>2853</v>
      </c>
      <c r="J23" s="305">
        <f t="shared" si="2"/>
        <v>0.93848684210526312</v>
      </c>
    </row>
    <row r="24" spans="1:10" x14ac:dyDescent="0.25">
      <c r="A24" s="992"/>
      <c r="B24" s="303">
        <v>2008</v>
      </c>
      <c r="C24" s="304">
        <v>1985</v>
      </c>
      <c r="D24" s="305">
        <f t="shared" si="0"/>
        <v>0.98854581673306774</v>
      </c>
      <c r="E24" s="303">
        <v>560</v>
      </c>
      <c r="F24" s="304">
        <v>508</v>
      </c>
      <c r="G24" s="305">
        <f t="shared" si="1"/>
        <v>0.90714285714285714</v>
      </c>
      <c r="H24" s="316">
        <v>2568</v>
      </c>
      <c r="I24" s="311">
        <v>2493</v>
      </c>
      <c r="J24" s="305">
        <f t="shared" si="2"/>
        <v>0.97079439252336452</v>
      </c>
    </row>
    <row r="25" spans="1:10" x14ac:dyDescent="0.25">
      <c r="A25" s="991" t="s">
        <v>58</v>
      </c>
      <c r="B25" s="303">
        <v>1499</v>
      </c>
      <c r="C25" s="304">
        <v>1381</v>
      </c>
      <c r="D25" s="305">
        <f t="shared" si="0"/>
        <v>0.92128085390260173</v>
      </c>
      <c r="E25" s="303">
        <v>564</v>
      </c>
      <c r="F25" s="304">
        <v>448</v>
      </c>
      <c r="G25" s="305">
        <f t="shared" si="1"/>
        <v>0.79432624113475181</v>
      </c>
      <c r="H25" s="316">
        <v>2063</v>
      </c>
      <c r="I25" s="311">
        <v>1829</v>
      </c>
      <c r="J25" s="305">
        <f t="shared" si="2"/>
        <v>0.88657295201163355</v>
      </c>
    </row>
    <row r="26" spans="1:10" x14ac:dyDescent="0.25">
      <c r="A26" s="992"/>
      <c r="B26" s="303">
        <v>1182</v>
      </c>
      <c r="C26" s="304">
        <v>1130</v>
      </c>
      <c r="D26" s="305">
        <f t="shared" si="0"/>
        <v>0.95600676818950936</v>
      </c>
      <c r="E26" s="303">
        <v>398</v>
      </c>
      <c r="F26" s="304">
        <v>336</v>
      </c>
      <c r="G26" s="305">
        <f t="shared" si="1"/>
        <v>0.84422110552763818</v>
      </c>
      <c r="H26" s="316">
        <v>1580</v>
      </c>
      <c r="I26" s="311">
        <v>1466</v>
      </c>
      <c r="J26" s="305">
        <f t="shared" si="2"/>
        <v>0.92784810126582273</v>
      </c>
    </row>
    <row r="27" spans="1:10" x14ac:dyDescent="0.25">
      <c r="A27" s="991" t="s">
        <v>39</v>
      </c>
      <c r="B27" s="303">
        <v>1034</v>
      </c>
      <c r="C27" s="304">
        <v>866</v>
      </c>
      <c r="D27" s="305">
        <f t="shared" si="0"/>
        <v>0.8375241779497099</v>
      </c>
      <c r="E27" s="303">
        <v>299</v>
      </c>
      <c r="F27" s="304">
        <v>162</v>
      </c>
      <c r="G27" s="305">
        <f t="shared" si="1"/>
        <v>0.5418060200668896</v>
      </c>
      <c r="H27" s="316">
        <v>1333</v>
      </c>
      <c r="I27" s="311">
        <v>1028</v>
      </c>
      <c r="J27" s="305">
        <f t="shared" si="2"/>
        <v>0.77119279819954989</v>
      </c>
    </row>
    <row r="28" spans="1:10" x14ac:dyDescent="0.25">
      <c r="A28" s="992"/>
      <c r="B28" s="303">
        <v>821</v>
      </c>
      <c r="C28" s="304">
        <v>761</v>
      </c>
      <c r="D28" s="305">
        <f t="shared" si="0"/>
        <v>0.92691839220462846</v>
      </c>
      <c r="E28" s="303">
        <v>134</v>
      </c>
      <c r="F28" s="304">
        <v>98</v>
      </c>
      <c r="G28" s="305">
        <f t="shared" si="1"/>
        <v>0.73134328358208955</v>
      </c>
      <c r="H28" s="316">
        <v>955</v>
      </c>
      <c r="I28" s="311">
        <v>859</v>
      </c>
      <c r="J28" s="305">
        <f t="shared" si="2"/>
        <v>0.8994764397905759</v>
      </c>
    </row>
    <row r="29" spans="1:10" x14ac:dyDescent="0.25">
      <c r="A29" s="991" t="s">
        <v>97</v>
      </c>
      <c r="B29" s="303">
        <v>1060</v>
      </c>
      <c r="C29" s="304">
        <v>774</v>
      </c>
      <c r="D29" s="305">
        <f t="shared" si="0"/>
        <v>0.73018867924528297</v>
      </c>
      <c r="E29" s="303">
        <v>975</v>
      </c>
      <c r="F29" s="304">
        <v>412</v>
      </c>
      <c r="G29" s="305">
        <f t="shared" si="1"/>
        <v>0.42256410256410254</v>
      </c>
      <c r="H29" s="316">
        <v>2035</v>
      </c>
      <c r="I29" s="311">
        <v>1186</v>
      </c>
      <c r="J29" s="305">
        <f t="shared" si="2"/>
        <v>0.5828009828009828</v>
      </c>
    </row>
    <row r="30" spans="1:10" x14ac:dyDescent="0.25">
      <c r="A30" s="992"/>
      <c r="B30" s="303">
        <v>707</v>
      </c>
      <c r="C30" s="304">
        <v>652</v>
      </c>
      <c r="D30" s="305">
        <f t="shared" si="0"/>
        <v>0.92220650636492218</v>
      </c>
      <c r="E30" s="303">
        <v>366</v>
      </c>
      <c r="F30" s="304">
        <v>230</v>
      </c>
      <c r="G30" s="305">
        <f t="shared" si="1"/>
        <v>0.62841530054644812</v>
      </c>
      <c r="H30" s="316">
        <v>1073</v>
      </c>
      <c r="I30" s="311">
        <v>882</v>
      </c>
      <c r="J30" s="305">
        <f t="shared" si="2"/>
        <v>0.82199440820130476</v>
      </c>
    </row>
    <row r="31" spans="1:10" x14ac:dyDescent="0.25">
      <c r="A31" s="991" t="s">
        <v>34</v>
      </c>
      <c r="B31" s="303">
        <v>2048</v>
      </c>
      <c r="C31" s="304">
        <v>1717</v>
      </c>
      <c r="D31" s="305">
        <f t="shared" si="0"/>
        <v>0.83837890625</v>
      </c>
      <c r="E31" s="303">
        <v>1466</v>
      </c>
      <c r="F31" s="304">
        <v>960</v>
      </c>
      <c r="G31" s="305">
        <f t="shared" si="1"/>
        <v>0.65484311050477495</v>
      </c>
      <c r="H31" s="316">
        <v>3514</v>
      </c>
      <c r="I31" s="311">
        <v>2677</v>
      </c>
      <c r="J31" s="305">
        <f t="shared" si="2"/>
        <v>0.7618099032441662</v>
      </c>
    </row>
    <row r="32" spans="1:10" ht="15.75" thickBot="1" x14ac:dyDescent="0.3">
      <c r="A32" s="1002"/>
      <c r="B32" s="307">
        <v>1510</v>
      </c>
      <c r="C32" s="308">
        <v>1367</v>
      </c>
      <c r="D32" s="309">
        <f t="shared" si="0"/>
        <v>0.90529801324503312</v>
      </c>
      <c r="E32" s="307">
        <v>977</v>
      </c>
      <c r="F32" s="308">
        <v>656</v>
      </c>
      <c r="G32" s="309">
        <f t="shared" si="1"/>
        <v>0.67144319344933467</v>
      </c>
      <c r="H32" s="317">
        <v>2487</v>
      </c>
      <c r="I32" s="321">
        <v>2023</v>
      </c>
      <c r="J32" s="309">
        <f t="shared" si="2"/>
        <v>0.81342983514274225</v>
      </c>
    </row>
    <row r="33" spans="1:10" x14ac:dyDescent="0.25">
      <c r="A33" s="991" t="s">
        <v>35</v>
      </c>
      <c r="B33" s="303">
        <v>1892</v>
      </c>
      <c r="C33" s="304">
        <v>1359</v>
      </c>
      <c r="D33" s="305">
        <f t="shared" si="0"/>
        <v>0.71828752642706128</v>
      </c>
      <c r="E33" s="303">
        <v>1034</v>
      </c>
      <c r="F33" s="304">
        <v>762</v>
      </c>
      <c r="G33" s="305">
        <f t="shared" si="1"/>
        <v>0.73694390715667313</v>
      </c>
      <c r="H33" s="303">
        <v>2926</v>
      </c>
      <c r="I33" s="304">
        <v>2121</v>
      </c>
      <c r="J33" s="305">
        <f t="shared" si="2"/>
        <v>0.72488038277511957</v>
      </c>
    </row>
    <row r="34" spans="1:10" x14ac:dyDescent="0.25">
      <c r="A34" s="992"/>
      <c r="B34" s="303">
        <v>1269</v>
      </c>
      <c r="C34" s="304">
        <v>1077</v>
      </c>
      <c r="D34" s="305">
        <f t="shared" si="0"/>
        <v>0.84869976359338062</v>
      </c>
      <c r="E34" s="303">
        <v>668</v>
      </c>
      <c r="F34" s="304">
        <v>543</v>
      </c>
      <c r="G34" s="305">
        <f t="shared" si="1"/>
        <v>0.81287425149700598</v>
      </c>
      <c r="H34" s="303">
        <v>1937</v>
      </c>
      <c r="I34" s="304">
        <v>1620</v>
      </c>
      <c r="J34" s="305">
        <f t="shared" si="2"/>
        <v>0.83634486319050072</v>
      </c>
    </row>
    <row r="35" spans="1:10" x14ac:dyDescent="0.25">
      <c r="A35" s="991" t="s">
        <v>37</v>
      </c>
      <c r="B35" s="303">
        <v>1481</v>
      </c>
      <c r="C35" s="304">
        <v>1272</v>
      </c>
      <c r="D35" s="305">
        <f t="shared" si="0"/>
        <v>0.85887913571910868</v>
      </c>
      <c r="E35" s="303">
        <v>965</v>
      </c>
      <c r="F35" s="304">
        <v>736</v>
      </c>
      <c r="G35" s="305">
        <f t="shared" si="1"/>
        <v>0.76269430051813469</v>
      </c>
      <c r="H35" s="303">
        <v>2446</v>
      </c>
      <c r="I35" s="304">
        <v>2008</v>
      </c>
      <c r="J35" s="305">
        <f t="shared" si="2"/>
        <v>0.82093213409648402</v>
      </c>
    </row>
    <row r="36" spans="1:10" x14ac:dyDescent="0.25">
      <c r="A36" s="992"/>
      <c r="B36" s="303">
        <v>1060</v>
      </c>
      <c r="C36" s="304">
        <v>1002</v>
      </c>
      <c r="D36" s="305">
        <f t="shared" si="0"/>
        <v>0.94528301886792454</v>
      </c>
      <c r="E36" s="303">
        <v>537</v>
      </c>
      <c r="F36" s="304">
        <v>456</v>
      </c>
      <c r="G36" s="305">
        <f t="shared" si="1"/>
        <v>0.84916201117318435</v>
      </c>
      <c r="H36" s="303">
        <v>1597</v>
      </c>
      <c r="I36" s="304">
        <v>1458</v>
      </c>
      <c r="J36" s="305">
        <f t="shared" si="2"/>
        <v>0.91296180338134003</v>
      </c>
    </row>
    <row r="37" spans="1:10" x14ac:dyDescent="0.25">
      <c r="A37" s="991" t="s">
        <v>53</v>
      </c>
      <c r="B37" s="303">
        <v>117</v>
      </c>
      <c r="C37" s="304">
        <v>98</v>
      </c>
      <c r="D37" s="305">
        <f t="shared" si="0"/>
        <v>0.83760683760683763</v>
      </c>
      <c r="E37" s="303">
        <v>0</v>
      </c>
      <c r="F37" s="304">
        <v>0</v>
      </c>
      <c r="G37" s="306" t="s">
        <v>120</v>
      </c>
      <c r="H37" s="303">
        <v>117</v>
      </c>
      <c r="I37" s="304">
        <v>98</v>
      </c>
      <c r="J37" s="305">
        <f t="shared" si="2"/>
        <v>0.83760683760683763</v>
      </c>
    </row>
    <row r="38" spans="1:10" x14ac:dyDescent="0.25">
      <c r="A38" s="992"/>
      <c r="B38" s="303">
        <v>99</v>
      </c>
      <c r="C38" s="304">
        <v>89</v>
      </c>
      <c r="D38" s="305">
        <f t="shared" si="0"/>
        <v>0.89898989898989901</v>
      </c>
      <c r="E38" s="303">
        <v>0</v>
      </c>
      <c r="F38" s="304">
        <v>0</v>
      </c>
      <c r="G38" s="306" t="s">
        <v>120</v>
      </c>
      <c r="H38" s="303">
        <v>99</v>
      </c>
      <c r="I38" s="304">
        <v>89</v>
      </c>
      <c r="J38" s="305">
        <f t="shared" si="2"/>
        <v>0.89898989898989901</v>
      </c>
    </row>
    <row r="39" spans="1:10" x14ac:dyDescent="0.25">
      <c r="A39" s="991" t="s">
        <v>593</v>
      </c>
      <c r="B39" s="303">
        <v>334</v>
      </c>
      <c r="C39" s="304">
        <v>327</v>
      </c>
      <c r="D39" s="305">
        <f t="shared" si="0"/>
        <v>0.97904191616766467</v>
      </c>
      <c r="E39" s="303">
        <v>297</v>
      </c>
      <c r="F39" s="304">
        <v>258</v>
      </c>
      <c r="G39" s="305">
        <f t="shared" si="1"/>
        <v>0.86868686868686873</v>
      </c>
      <c r="H39" s="303">
        <v>631</v>
      </c>
      <c r="I39" s="304">
        <v>585</v>
      </c>
      <c r="J39" s="305">
        <f t="shared" si="2"/>
        <v>0.92709984152139457</v>
      </c>
    </row>
    <row r="40" spans="1:10" x14ac:dyDescent="0.25">
      <c r="A40" s="992"/>
      <c r="B40" s="303">
        <v>294</v>
      </c>
      <c r="C40" s="304">
        <v>288</v>
      </c>
      <c r="D40" s="305">
        <f t="shared" si="0"/>
        <v>0.97959183673469385</v>
      </c>
      <c r="E40" s="303">
        <v>257</v>
      </c>
      <c r="F40" s="304">
        <v>224</v>
      </c>
      <c r="G40" s="305">
        <f t="shared" si="1"/>
        <v>0.87159533073929962</v>
      </c>
      <c r="H40" s="303">
        <v>551</v>
      </c>
      <c r="I40" s="304">
        <v>512</v>
      </c>
      <c r="J40" s="305">
        <f t="shared" si="2"/>
        <v>0.92921960072595278</v>
      </c>
    </row>
    <row r="41" spans="1:10" x14ac:dyDescent="0.25">
      <c r="A41" s="991" t="s">
        <v>42</v>
      </c>
      <c r="B41" s="303">
        <v>898</v>
      </c>
      <c r="C41" s="304">
        <v>723</v>
      </c>
      <c r="D41" s="305">
        <f t="shared" si="0"/>
        <v>0.80512249443207129</v>
      </c>
      <c r="E41" s="303">
        <v>269</v>
      </c>
      <c r="F41" s="304">
        <v>246</v>
      </c>
      <c r="G41" s="305">
        <f t="shared" si="1"/>
        <v>0.91449814126394047</v>
      </c>
      <c r="H41" s="303">
        <v>1167</v>
      </c>
      <c r="I41" s="304">
        <v>969</v>
      </c>
      <c r="J41" s="305">
        <f t="shared" si="2"/>
        <v>0.83033419023136246</v>
      </c>
    </row>
    <row r="42" spans="1:10" x14ac:dyDescent="0.25">
      <c r="A42" s="992"/>
      <c r="B42" s="303">
        <v>629</v>
      </c>
      <c r="C42" s="304">
        <v>564</v>
      </c>
      <c r="D42" s="305">
        <f t="shared" si="0"/>
        <v>0.89666136724960255</v>
      </c>
      <c r="E42" s="303">
        <v>200</v>
      </c>
      <c r="F42" s="304">
        <v>189</v>
      </c>
      <c r="G42" s="305">
        <f t="shared" si="1"/>
        <v>0.94499999999999995</v>
      </c>
      <c r="H42" s="303">
        <v>829</v>
      </c>
      <c r="I42" s="304">
        <v>753</v>
      </c>
      <c r="J42" s="305">
        <f t="shared" si="2"/>
        <v>0.90832328106151994</v>
      </c>
    </row>
    <row r="43" spans="1:10" x14ac:dyDescent="0.25">
      <c r="A43" s="991" t="s">
        <v>41</v>
      </c>
      <c r="B43" s="303">
        <v>810</v>
      </c>
      <c r="C43" s="304">
        <v>717</v>
      </c>
      <c r="D43" s="305">
        <f t="shared" si="0"/>
        <v>0.88518518518518519</v>
      </c>
      <c r="E43" s="303">
        <v>1418</v>
      </c>
      <c r="F43" s="304">
        <v>1294</v>
      </c>
      <c r="G43" s="305">
        <f t="shared" si="1"/>
        <v>0.91255289139633289</v>
      </c>
      <c r="H43" s="303">
        <v>2228</v>
      </c>
      <c r="I43" s="304">
        <v>2011</v>
      </c>
      <c r="J43" s="305">
        <f t="shared" si="2"/>
        <v>0.90260323159784561</v>
      </c>
    </row>
    <row r="44" spans="1:10" x14ac:dyDescent="0.25">
      <c r="A44" s="992"/>
      <c r="B44" s="303">
        <v>517</v>
      </c>
      <c r="C44" s="304">
        <v>486</v>
      </c>
      <c r="D44" s="305">
        <f t="shared" si="0"/>
        <v>0.94003868471953578</v>
      </c>
      <c r="E44" s="303">
        <v>891</v>
      </c>
      <c r="F44" s="304">
        <v>830</v>
      </c>
      <c r="G44" s="305">
        <f t="shared" si="1"/>
        <v>0.93153759820426485</v>
      </c>
      <c r="H44" s="303">
        <v>1408</v>
      </c>
      <c r="I44" s="304">
        <v>1316</v>
      </c>
      <c r="J44" s="305">
        <f t="shared" si="2"/>
        <v>0.93465909090909094</v>
      </c>
    </row>
    <row r="45" spans="1:10" x14ac:dyDescent="0.25">
      <c r="A45" s="991" t="s">
        <v>48</v>
      </c>
      <c r="B45" s="303">
        <v>209</v>
      </c>
      <c r="C45" s="304">
        <v>204</v>
      </c>
      <c r="D45" s="305">
        <f t="shared" si="0"/>
        <v>0.97607655502392343</v>
      </c>
      <c r="E45" s="303">
        <v>159</v>
      </c>
      <c r="F45" s="304">
        <v>145</v>
      </c>
      <c r="G45" s="305">
        <f t="shared" si="1"/>
        <v>0.91194968553459121</v>
      </c>
      <c r="H45" s="303">
        <v>368</v>
      </c>
      <c r="I45" s="304">
        <v>349</v>
      </c>
      <c r="J45" s="305">
        <f t="shared" si="2"/>
        <v>0.94836956521739135</v>
      </c>
    </row>
    <row r="46" spans="1:10" x14ac:dyDescent="0.25">
      <c r="A46" s="992"/>
      <c r="B46" s="303">
        <v>199</v>
      </c>
      <c r="C46" s="304">
        <v>194</v>
      </c>
      <c r="D46" s="305">
        <f t="shared" si="0"/>
        <v>0.97487437185929648</v>
      </c>
      <c r="E46" s="303">
        <v>143</v>
      </c>
      <c r="F46" s="304">
        <v>132</v>
      </c>
      <c r="G46" s="305">
        <f t="shared" si="1"/>
        <v>0.92307692307692313</v>
      </c>
      <c r="H46" s="303">
        <v>342</v>
      </c>
      <c r="I46" s="304">
        <v>326</v>
      </c>
      <c r="J46" s="305">
        <f t="shared" si="2"/>
        <v>0.95321637426900585</v>
      </c>
    </row>
    <row r="47" spans="1:10" x14ac:dyDescent="0.25">
      <c r="A47" s="991" t="s">
        <v>60</v>
      </c>
      <c r="B47" s="303">
        <v>48</v>
      </c>
      <c r="C47" s="304">
        <v>46</v>
      </c>
      <c r="D47" s="305">
        <f t="shared" si="0"/>
        <v>0.95833333333333337</v>
      </c>
      <c r="E47" s="303">
        <v>39</v>
      </c>
      <c r="F47" s="304">
        <v>31</v>
      </c>
      <c r="G47" s="305">
        <f t="shared" si="1"/>
        <v>0.79487179487179482</v>
      </c>
      <c r="H47" s="303">
        <v>87</v>
      </c>
      <c r="I47" s="304">
        <v>77</v>
      </c>
      <c r="J47" s="305">
        <f t="shared" si="2"/>
        <v>0.88505747126436785</v>
      </c>
    </row>
    <row r="48" spans="1:10" x14ac:dyDescent="0.25">
      <c r="A48" s="992"/>
      <c r="B48" s="303">
        <v>46</v>
      </c>
      <c r="C48" s="304">
        <v>44</v>
      </c>
      <c r="D48" s="305">
        <f t="shared" si="0"/>
        <v>0.95652173913043481</v>
      </c>
      <c r="E48" s="303">
        <v>37</v>
      </c>
      <c r="F48" s="304">
        <v>29</v>
      </c>
      <c r="G48" s="305">
        <f t="shared" si="1"/>
        <v>0.78378378378378377</v>
      </c>
      <c r="H48" s="303">
        <v>83</v>
      </c>
      <c r="I48" s="304">
        <v>73</v>
      </c>
      <c r="J48" s="305">
        <f t="shared" si="2"/>
        <v>0.87951807228915657</v>
      </c>
    </row>
    <row r="49" spans="1:10" x14ac:dyDescent="0.25">
      <c r="A49" s="991" t="s">
        <v>59</v>
      </c>
      <c r="B49" s="303">
        <v>0</v>
      </c>
      <c r="C49" s="304">
        <v>0</v>
      </c>
      <c r="D49" s="306" t="s">
        <v>120</v>
      </c>
      <c r="E49" s="303">
        <v>3785</v>
      </c>
      <c r="F49" s="304">
        <v>3113</v>
      </c>
      <c r="G49" s="305">
        <f t="shared" si="1"/>
        <v>0.82245706737120217</v>
      </c>
      <c r="H49" s="303">
        <v>3785</v>
      </c>
      <c r="I49" s="304">
        <v>3113</v>
      </c>
      <c r="J49" s="305">
        <f t="shared" si="2"/>
        <v>0.82245706737120217</v>
      </c>
    </row>
    <row r="50" spans="1:10" x14ac:dyDescent="0.25">
      <c r="A50" s="992"/>
      <c r="B50" s="303">
        <v>0</v>
      </c>
      <c r="C50" s="304">
        <v>0</v>
      </c>
      <c r="D50" s="306" t="s">
        <v>120</v>
      </c>
      <c r="E50" s="303">
        <v>460</v>
      </c>
      <c r="F50" s="304">
        <v>412</v>
      </c>
      <c r="G50" s="305">
        <f t="shared" si="1"/>
        <v>0.89565217391304353</v>
      </c>
      <c r="H50" s="303">
        <v>460</v>
      </c>
      <c r="I50" s="304">
        <v>412</v>
      </c>
      <c r="J50" s="305">
        <f t="shared" si="2"/>
        <v>0.89565217391304353</v>
      </c>
    </row>
    <row r="51" spans="1:10" x14ac:dyDescent="0.25">
      <c r="A51" s="991" t="s">
        <v>43</v>
      </c>
      <c r="B51" s="303">
        <v>57</v>
      </c>
      <c r="C51" s="304">
        <v>52</v>
      </c>
      <c r="D51" s="305">
        <f t="shared" si="0"/>
        <v>0.91228070175438591</v>
      </c>
      <c r="E51" s="303">
        <v>597</v>
      </c>
      <c r="F51" s="304">
        <v>450</v>
      </c>
      <c r="G51" s="305">
        <f t="shared" si="1"/>
        <v>0.75376884422110557</v>
      </c>
      <c r="H51" s="303">
        <v>654</v>
      </c>
      <c r="I51" s="304">
        <v>502</v>
      </c>
      <c r="J51" s="305">
        <f t="shared" si="2"/>
        <v>0.76758409785932724</v>
      </c>
    </row>
    <row r="52" spans="1:10" x14ac:dyDescent="0.25">
      <c r="A52" s="992"/>
      <c r="B52" s="303">
        <v>39</v>
      </c>
      <c r="C52" s="304">
        <v>36</v>
      </c>
      <c r="D52" s="305">
        <f t="shared" si="0"/>
        <v>0.92307692307692313</v>
      </c>
      <c r="E52" s="303">
        <v>406</v>
      </c>
      <c r="F52" s="304">
        <v>335</v>
      </c>
      <c r="G52" s="305">
        <f t="shared" si="1"/>
        <v>0.82512315270935965</v>
      </c>
      <c r="H52" s="303">
        <v>445</v>
      </c>
      <c r="I52" s="304">
        <v>371</v>
      </c>
      <c r="J52" s="305">
        <f t="shared" si="2"/>
        <v>0.83370786516853934</v>
      </c>
    </row>
    <row r="53" spans="1:10" x14ac:dyDescent="0.25">
      <c r="A53" s="991" t="s">
        <v>177</v>
      </c>
      <c r="B53" s="303">
        <v>423</v>
      </c>
      <c r="C53" s="304">
        <v>368</v>
      </c>
      <c r="D53" s="305">
        <f t="shared" si="0"/>
        <v>0.8699763593380615</v>
      </c>
      <c r="E53" s="303">
        <v>535</v>
      </c>
      <c r="F53" s="304">
        <v>343</v>
      </c>
      <c r="G53" s="305">
        <f t="shared" si="1"/>
        <v>0.64112149532710283</v>
      </c>
      <c r="H53" s="303">
        <v>958</v>
      </c>
      <c r="I53" s="304">
        <v>711</v>
      </c>
      <c r="J53" s="305">
        <f t="shared" si="2"/>
        <v>0.74217118997912312</v>
      </c>
    </row>
    <row r="54" spans="1:10" x14ac:dyDescent="0.25">
      <c r="A54" s="992"/>
      <c r="B54" s="303">
        <v>397</v>
      </c>
      <c r="C54" s="304">
        <v>353</v>
      </c>
      <c r="D54" s="305">
        <f t="shared" si="0"/>
        <v>0.88916876574307302</v>
      </c>
      <c r="E54" s="303">
        <v>451</v>
      </c>
      <c r="F54" s="304">
        <v>305</v>
      </c>
      <c r="G54" s="305">
        <f t="shared" si="1"/>
        <v>0.67627494456762749</v>
      </c>
      <c r="H54" s="303">
        <v>848</v>
      </c>
      <c r="I54" s="304">
        <v>658</v>
      </c>
      <c r="J54" s="305">
        <f t="shared" si="2"/>
        <v>0.77594339622641506</v>
      </c>
    </row>
    <row r="55" spans="1:10" x14ac:dyDescent="0.25">
      <c r="A55" s="991" t="s">
        <v>47</v>
      </c>
      <c r="B55" s="303">
        <v>122</v>
      </c>
      <c r="C55" s="304">
        <v>118</v>
      </c>
      <c r="D55" s="305">
        <f t="shared" si="0"/>
        <v>0.96721311475409832</v>
      </c>
      <c r="E55" s="303">
        <v>692</v>
      </c>
      <c r="F55" s="304">
        <v>376</v>
      </c>
      <c r="G55" s="305">
        <f t="shared" si="1"/>
        <v>0.54335260115606931</v>
      </c>
      <c r="H55" s="303">
        <v>814</v>
      </c>
      <c r="I55" s="304">
        <v>494</v>
      </c>
      <c r="J55" s="305">
        <f t="shared" si="2"/>
        <v>0.60687960687960685</v>
      </c>
    </row>
    <row r="56" spans="1:10" x14ac:dyDescent="0.25">
      <c r="A56" s="992"/>
      <c r="B56" s="303">
        <v>111</v>
      </c>
      <c r="C56" s="304">
        <v>108</v>
      </c>
      <c r="D56" s="305">
        <f t="shared" si="0"/>
        <v>0.97297297297297303</v>
      </c>
      <c r="E56" s="303">
        <v>579</v>
      </c>
      <c r="F56" s="304">
        <v>334</v>
      </c>
      <c r="G56" s="305">
        <f t="shared" si="1"/>
        <v>0.57685664939550951</v>
      </c>
      <c r="H56" s="303">
        <v>690</v>
      </c>
      <c r="I56" s="304">
        <v>442</v>
      </c>
      <c r="J56" s="305">
        <f t="shared" si="2"/>
        <v>0.64057971014492754</v>
      </c>
    </row>
    <row r="57" spans="1:10" x14ac:dyDescent="0.25">
      <c r="A57" s="991" t="s">
        <v>186</v>
      </c>
      <c r="B57" s="303">
        <v>35</v>
      </c>
      <c r="C57" s="304">
        <v>29</v>
      </c>
      <c r="D57" s="305">
        <f>C57/B57</f>
        <v>0.82857142857142863</v>
      </c>
      <c r="E57" s="303">
        <v>0</v>
      </c>
      <c r="F57" s="304">
        <v>0</v>
      </c>
      <c r="G57" s="306" t="s">
        <v>120</v>
      </c>
      <c r="H57" s="303">
        <v>35</v>
      </c>
      <c r="I57" s="304">
        <v>29</v>
      </c>
      <c r="J57" s="305">
        <f>I57/H57</f>
        <v>0.82857142857142863</v>
      </c>
    </row>
    <row r="58" spans="1:10" x14ac:dyDescent="0.25">
      <c r="A58" s="992"/>
      <c r="B58" s="303">
        <v>22</v>
      </c>
      <c r="C58" s="304">
        <v>18</v>
      </c>
      <c r="D58" s="305">
        <f>C58/B58</f>
        <v>0.81818181818181823</v>
      </c>
      <c r="E58" s="303">
        <v>0</v>
      </c>
      <c r="F58" s="304">
        <v>0</v>
      </c>
      <c r="G58" s="306" t="s">
        <v>120</v>
      </c>
      <c r="H58" s="303">
        <v>22</v>
      </c>
      <c r="I58" s="304">
        <v>18</v>
      </c>
      <c r="J58" s="305">
        <f>I58/H58</f>
        <v>0.81818181818181823</v>
      </c>
    </row>
    <row r="59" spans="1:10" x14ac:dyDescent="0.25">
      <c r="A59" s="991" t="s">
        <v>61</v>
      </c>
      <c r="B59" s="303">
        <v>62</v>
      </c>
      <c r="C59" s="304">
        <v>56</v>
      </c>
      <c r="D59" s="305">
        <f t="shared" si="0"/>
        <v>0.90322580645161288</v>
      </c>
      <c r="E59" s="303">
        <v>131</v>
      </c>
      <c r="F59" s="304">
        <v>114</v>
      </c>
      <c r="G59" s="305">
        <f t="shared" si="1"/>
        <v>0.87022900763358779</v>
      </c>
      <c r="H59" s="303">
        <v>193</v>
      </c>
      <c r="I59" s="304">
        <v>170</v>
      </c>
      <c r="J59" s="305">
        <f t="shared" si="2"/>
        <v>0.88082901554404147</v>
      </c>
    </row>
    <row r="60" spans="1:10" x14ac:dyDescent="0.25">
      <c r="A60" s="992"/>
      <c r="B60" s="303">
        <v>55</v>
      </c>
      <c r="C60" s="304">
        <v>51</v>
      </c>
      <c r="D60" s="305">
        <f t="shared" si="0"/>
        <v>0.92727272727272725</v>
      </c>
      <c r="E60" s="303">
        <v>92</v>
      </c>
      <c r="F60" s="304">
        <v>86</v>
      </c>
      <c r="G60" s="305">
        <f t="shared" si="1"/>
        <v>0.93478260869565222</v>
      </c>
      <c r="H60" s="303">
        <v>147</v>
      </c>
      <c r="I60" s="304">
        <v>137</v>
      </c>
      <c r="J60" s="305">
        <f t="shared" si="2"/>
        <v>0.93197278911564629</v>
      </c>
    </row>
    <row r="61" spans="1:10" x14ac:dyDescent="0.25">
      <c r="A61" s="991" t="s">
        <v>46</v>
      </c>
      <c r="B61" s="303">
        <v>267</v>
      </c>
      <c r="C61" s="304">
        <v>261</v>
      </c>
      <c r="D61" s="305">
        <f t="shared" si="0"/>
        <v>0.97752808988764039</v>
      </c>
      <c r="E61" s="303">
        <v>342</v>
      </c>
      <c r="F61" s="304">
        <v>294</v>
      </c>
      <c r="G61" s="305">
        <f t="shared" si="1"/>
        <v>0.85964912280701755</v>
      </c>
      <c r="H61" s="303">
        <v>609</v>
      </c>
      <c r="I61" s="304">
        <v>555</v>
      </c>
      <c r="J61" s="305">
        <f t="shared" si="2"/>
        <v>0.91133004926108374</v>
      </c>
    </row>
    <row r="62" spans="1:10" ht="15.75" thickBot="1" x14ac:dyDescent="0.3">
      <c r="A62" s="1002"/>
      <c r="B62" s="307">
        <v>255</v>
      </c>
      <c r="C62" s="308">
        <v>252</v>
      </c>
      <c r="D62" s="309">
        <f t="shared" si="0"/>
        <v>0.9882352941176471</v>
      </c>
      <c r="E62" s="307">
        <v>309</v>
      </c>
      <c r="F62" s="308">
        <v>284</v>
      </c>
      <c r="G62" s="309">
        <f t="shared" si="1"/>
        <v>0.91909385113268605</v>
      </c>
      <c r="H62" s="307">
        <v>564</v>
      </c>
      <c r="I62" s="308">
        <v>536</v>
      </c>
      <c r="J62" s="309">
        <f t="shared" si="2"/>
        <v>0.95035460992907805</v>
      </c>
    </row>
    <row r="63" spans="1:10" x14ac:dyDescent="0.25">
      <c r="A63" s="310"/>
      <c r="B63" s="310"/>
      <c r="C63" s="310"/>
      <c r="D63" s="310"/>
      <c r="E63" s="310"/>
      <c r="F63" s="310"/>
      <c r="G63" s="310"/>
      <c r="H63" s="310"/>
      <c r="I63" s="310"/>
      <c r="J63" s="310"/>
    </row>
    <row r="64" spans="1:10" x14ac:dyDescent="0.25">
      <c r="A64" s="310"/>
      <c r="B64" s="310"/>
      <c r="C64" s="310"/>
      <c r="D64" s="310"/>
      <c r="E64" s="310"/>
      <c r="F64" s="310"/>
      <c r="G64" s="310"/>
      <c r="H64" s="310"/>
      <c r="I64" s="310"/>
      <c r="J64" s="281" t="s">
        <v>28</v>
      </c>
    </row>
  </sheetData>
  <mergeCells count="42">
    <mergeCell ref="A43:A44"/>
    <mergeCell ref="A57:A58"/>
    <mergeCell ref="A59:A60"/>
    <mergeCell ref="A61:A62"/>
    <mergeCell ref="A45:A46"/>
    <mergeCell ref="A47:A48"/>
    <mergeCell ref="A49:A50"/>
    <mergeCell ref="A51:A52"/>
    <mergeCell ref="A53:A54"/>
    <mergeCell ref="A55:A56"/>
    <mergeCell ref="A33:A34"/>
    <mergeCell ref="A35:A36"/>
    <mergeCell ref="A37:A38"/>
    <mergeCell ref="A39:A40"/>
    <mergeCell ref="A41:A42"/>
    <mergeCell ref="B3:D3"/>
    <mergeCell ref="A27:A28"/>
    <mergeCell ref="A31:A32"/>
    <mergeCell ref="A9:A10"/>
    <mergeCell ref="A11:A12"/>
    <mergeCell ref="A13:A14"/>
    <mergeCell ref="A15:A16"/>
    <mergeCell ref="A17:A18"/>
    <mergeCell ref="A19:A20"/>
    <mergeCell ref="A21:A22"/>
    <mergeCell ref="A23:A24"/>
    <mergeCell ref="A1:J1"/>
    <mergeCell ref="H2:J2"/>
    <mergeCell ref="E2:G2"/>
    <mergeCell ref="B2:D2"/>
    <mergeCell ref="A29:A30"/>
    <mergeCell ref="A7:A8"/>
    <mergeCell ref="B5:B6"/>
    <mergeCell ref="E5:E6"/>
    <mergeCell ref="H5:H6"/>
    <mergeCell ref="E3:G3"/>
    <mergeCell ref="H3:J3"/>
    <mergeCell ref="A25:A26"/>
    <mergeCell ref="H4:J4"/>
    <mergeCell ref="E4:G4"/>
    <mergeCell ref="B4:D4"/>
    <mergeCell ref="A3:A6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scale="93" fitToHeight="2" orientation="portrait" r:id="rId1"/>
  <headerFoot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zoomScale="130" zoomScaleNormal="130" workbookViewId="0">
      <selection activeCell="E4" sqref="E4"/>
    </sheetView>
  </sheetViews>
  <sheetFormatPr defaultRowHeight="15" x14ac:dyDescent="0.25"/>
  <cols>
    <col min="1" max="1" width="12.42578125" style="70" customWidth="1"/>
    <col min="2" max="2" width="8.7109375" style="71" customWidth="1"/>
    <col min="3" max="3" width="10" style="72" customWidth="1"/>
    <col min="4" max="4" width="9.28515625" style="73" customWidth="1"/>
    <col min="5" max="5" width="10.42578125" style="72" customWidth="1"/>
    <col min="6" max="6" width="8.42578125" style="73" customWidth="1"/>
    <col min="7" max="7" width="9.85546875" style="72" customWidth="1"/>
    <col min="8" max="8" width="9.5703125" style="73" customWidth="1"/>
    <col min="9" max="9" width="10.7109375" style="72" customWidth="1"/>
    <col min="10" max="10" width="8" style="73" customWidth="1"/>
    <col min="11" max="11" width="9.140625" style="72" customWidth="1"/>
    <col min="12" max="12" width="6.5703125" style="73" customWidth="1"/>
    <col min="13" max="13" width="8.7109375" style="72" customWidth="1"/>
    <col min="14" max="14" width="9.140625" style="73" customWidth="1"/>
    <col min="15" max="15" width="9" style="72" customWidth="1"/>
    <col min="16" max="16" width="8.7109375" style="73" customWidth="1"/>
    <col min="17" max="17" width="7.7109375" style="72" customWidth="1"/>
    <col min="18" max="18" width="8.85546875" style="73" customWidth="1"/>
    <col min="19" max="19" width="8.42578125" style="72" customWidth="1"/>
    <col min="20" max="16384" width="9.140625" style="62"/>
  </cols>
  <sheetData>
    <row r="1" spans="1:19" ht="43.5" customHeight="1" thickBot="1" x14ac:dyDescent="0.3">
      <c r="A1" s="1010" t="s">
        <v>599</v>
      </c>
      <c r="B1" s="1010"/>
      <c r="C1" s="1010"/>
      <c r="D1" s="1010"/>
      <c r="E1" s="1010"/>
      <c r="F1" s="1010"/>
      <c r="G1" s="1010"/>
      <c r="H1" s="1010"/>
      <c r="I1" s="1010"/>
      <c r="J1" s="1010"/>
      <c r="K1" s="1010"/>
      <c r="L1" s="1010"/>
      <c r="M1" s="1010"/>
      <c r="N1" s="1010"/>
      <c r="O1" s="1010"/>
      <c r="P1" s="1010"/>
      <c r="Q1" s="1010"/>
      <c r="R1" s="1010"/>
      <c r="S1" s="1010"/>
    </row>
    <row r="2" spans="1:19" s="63" customFormat="1" ht="18.75" customHeight="1" x14ac:dyDescent="0.25">
      <c r="A2" s="1003" t="s">
        <v>56</v>
      </c>
      <c r="B2" s="1005" t="s">
        <v>187</v>
      </c>
      <c r="C2" s="1007" t="s">
        <v>188</v>
      </c>
      <c r="D2" s="1009" t="s">
        <v>189</v>
      </c>
      <c r="E2" s="1009"/>
      <c r="F2" s="1009"/>
      <c r="G2" s="1009"/>
      <c r="H2" s="1009"/>
      <c r="I2" s="1009"/>
      <c r="J2" s="1009"/>
      <c r="K2" s="1009"/>
      <c r="L2" s="1009"/>
      <c r="M2" s="1009"/>
      <c r="N2" s="1011" t="s">
        <v>190</v>
      </c>
      <c r="O2" s="1013" t="s">
        <v>191</v>
      </c>
      <c r="P2" s="1011" t="s">
        <v>192</v>
      </c>
      <c r="Q2" s="1013" t="s">
        <v>193</v>
      </c>
      <c r="R2" s="1011" t="s">
        <v>194</v>
      </c>
      <c r="S2" s="1015" t="s">
        <v>195</v>
      </c>
    </row>
    <row r="3" spans="1:19" s="63" customFormat="1" ht="63" customHeight="1" thickBot="1" x14ac:dyDescent="0.3">
      <c r="A3" s="1004"/>
      <c r="B3" s="1006"/>
      <c r="C3" s="1008"/>
      <c r="D3" s="318" t="s">
        <v>196</v>
      </c>
      <c r="E3" s="319" t="s">
        <v>197</v>
      </c>
      <c r="F3" s="318" t="s">
        <v>209</v>
      </c>
      <c r="G3" s="319" t="s">
        <v>198</v>
      </c>
      <c r="H3" s="318" t="s">
        <v>199</v>
      </c>
      <c r="I3" s="319" t="s">
        <v>200</v>
      </c>
      <c r="J3" s="318" t="s">
        <v>201</v>
      </c>
      <c r="K3" s="319" t="s">
        <v>202</v>
      </c>
      <c r="L3" s="318" t="s">
        <v>203</v>
      </c>
      <c r="M3" s="319" t="s">
        <v>204</v>
      </c>
      <c r="N3" s="1012"/>
      <c r="O3" s="1014"/>
      <c r="P3" s="1012"/>
      <c r="Q3" s="1014"/>
      <c r="R3" s="1012"/>
      <c r="S3" s="1016"/>
    </row>
    <row r="4" spans="1:19" s="63" customFormat="1" ht="30.75" thickBot="1" x14ac:dyDescent="0.3">
      <c r="A4" s="581" t="s">
        <v>594</v>
      </c>
      <c r="B4" s="569" t="s">
        <v>595</v>
      </c>
      <c r="C4" s="570" t="s">
        <v>596</v>
      </c>
      <c r="D4" s="569" t="s">
        <v>595</v>
      </c>
      <c r="E4" s="570" t="s">
        <v>596</v>
      </c>
      <c r="F4" s="569" t="s">
        <v>595</v>
      </c>
      <c r="G4" s="570" t="s">
        <v>596</v>
      </c>
      <c r="H4" s="569" t="s">
        <v>595</v>
      </c>
      <c r="I4" s="570" t="s">
        <v>596</v>
      </c>
      <c r="J4" s="569" t="s">
        <v>595</v>
      </c>
      <c r="K4" s="570" t="s">
        <v>596</v>
      </c>
      <c r="L4" s="569" t="s">
        <v>595</v>
      </c>
      <c r="M4" s="570" t="s">
        <v>596</v>
      </c>
      <c r="N4" s="569" t="s">
        <v>595</v>
      </c>
      <c r="O4" s="570" t="s">
        <v>596</v>
      </c>
      <c r="P4" s="569" t="s">
        <v>595</v>
      </c>
      <c r="Q4" s="570" t="s">
        <v>596</v>
      </c>
      <c r="R4" s="569" t="s">
        <v>595</v>
      </c>
      <c r="S4" s="582" t="s">
        <v>596</v>
      </c>
    </row>
    <row r="5" spans="1:19" ht="30" x14ac:dyDescent="0.25">
      <c r="A5" s="571" t="s">
        <v>29</v>
      </c>
      <c r="B5" s="572">
        <v>1938.1</v>
      </c>
      <c r="C5" s="573">
        <v>1198.21</v>
      </c>
      <c r="D5" s="574">
        <v>278.60000000000002</v>
      </c>
      <c r="E5" s="573">
        <v>1760.53</v>
      </c>
      <c r="F5" s="574">
        <v>413.1</v>
      </c>
      <c r="G5" s="573">
        <v>1404.56</v>
      </c>
      <c r="H5" s="574">
        <v>1126.0999999999999</v>
      </c>
      <c r="I5" s="573">
        <v>1024.83</v>
      </c>
      <c r="J5" s="574">
        <v>64.599999999999994</v>
      </c>
      <c r="K5" s="573">
        <v>740.42</v>
      </c>
      <c r="L5" s="574">
        <v>55.7</v>
      </c>
      <c r="M5" s="573">
        <v>891.32</v>
      </c>
      <c r="N5" s="574">
        <v>446.3</v>
      </c>
      <c r="O5" s="573">
        <v>971.09</v>
      </c>
      <c r="P5" s="574">
        <v>2014.3</v>
      </c>
      <c r="Q5" s="573">
        <v>726.71</v>
      </c>
      <c r="R5" s="574">
        <f t="shared" ref="R5:R24" si="0">B5+N5+P5</f>
        <v>4398.7</v>
      </c>
      <c r="S5" s="575">
        <v>959.25</v>
      </c>
    </row>
    <row r="6" spans="1:19" x14ac:dyDescent="0.25">
      <c r="A6" s="568" t="s">
        <v>39</v>
      </c>
      <c r="B6" s="560">
        <v>583.9</v>
      </c>
      <c r="C6" s="561">
        <v>1183.7</v>
      </c>
      <c r="D6" s="562">
        <v>101.7</v>
      </c>
      <c r="E6" s="561">
        <v>1823.66</v>
      </c>
      <c r="F6" s="562">
        <v>107.1</v>
      </c>
      <c r="G6" s="561">
        <v>1328.73</v>
      </c>
      <c r="H6" s="562">
        <v>314.10000000000002</v>
      </c>
      <c r="I6" s="561">
        <v>1003.33</v>
      </c>
      <c r="J6" s="562">
        <v>42.3</v>
      </c>
      <c r="K6" s="561">
        <v>780.82</v>
      </c>
      <c r="L6" s="562">
        <v>18.7</v>
      </c>
      <c r="M6" s="561">
        <v>813.6</v>
      </c>
      <c r="N6" s="562">
        <v>114.1</v>
      </c>
      <c r="O6" s="561">
        <v>936.73</v>
      </c>
      <c r="P6" s="562">
        <v>604.29999999999995</v>
      </c>
      <c r="Q6" s="561">
        <v>606.16</v>
      </c>
      <c r="R6" s="562">
        <f t="shared" si="0"/>
        <v>1302.3</v>
      </c>
      <c r="S6" s="567">
        <v>894.07</v>
      </c>
    </row>
    <row r="7" spans="1:19" x14ac:dyDescent="0.25">
      <c r="A7" s="568" t="s">
        <v>37</v>
      </c>
      <c r="B7" s="560">
        <v>535.4</v>
      </c>
      <c r="C7" s="561">
        <v>1005.77</v>
      </c>
      <c r="D7" s="562">
        <v>44.5</v>
      </c>
      <c r="E7" s="561">
        <v>1571.83</v>
      </c>
      <c r="F7" s="562">
        <v>96.8</v>
      </c>
      <c r="G7" s="561">
        <v>1204.48</v>
      </c>
      <c r="H7" s="562">
        <v>350.3</v>
      </c>
      <c r="I7" s="561">
        <v>906.15</v>
      </c>
      <c r="J7" s="562">
        <v>30.3</v>
      </c>
      <c r="K7" s="561">
        <v>776.2</v>
      </c>
      <c r="L7" s="562">
        <v>13.5</v>
      </c>
      <c r="M7" s="561">
        <v>815.36</v>
      </c>
      <c r="N7" s="562">
        <v>25.5</v>
      </c>
      <c r="O7" s="561">
        <v>1835.86</v>
      </c>
      <c r="P7" s="562">
        <v>469.6</v>
      </c>
      <c r="Q7" s="561">
        <v>584.99</v>
      </c>
      <c r="R7" s="562">
        <f t="shared" si="0"/>
        <v>1030.5</v>
      </c>
      <c r="S7" s="567">
        <v>834.56</v>
      </c>
    </row>
    <row r="8" spans="1:19" x14ac:dyDescent="0.25">
      <c r="A8" s="568" t="s">
        <v>42</v>
      </c>
      <c r="B8" s="560">
        <v>264.8</v>
      </c>
      <c r="C8" s="561">
        <v>1020.15</v>
      </c>
      <c r="D8" s="562">
        <v>45</v>
      </c>
      <c r="E8" s="561">
        <v>1332.33</v>
      </c>
      <c r="F8" s="562">
        <v>41.2</v>
      </c>
      <c r="G8" s="561">
        <v>1118.33</v>
      </c>
      <c r="H8" s="562">
        <v>171.2</v>
      </c>
      <c r="I8" s="561">
        <v>915.55</v>
      </c>
      <c r="J8" s="562">
        <v>3</v>
      </c>
      <c r="K8" s="561">
        <v>734.69</v>
      </c>
      <c r="L8" s="562">
        <v>4.4000000000000004</v>
      </c>
      <c r="M8" s="561">
        <v>1172.42</v>
      </c>
      <c r="N8" s="562">
        <v>21.6</v>
      </c>
      <c r="O8" s="561">
        <v>837.58</v>
      </c>
      <c r="P8" s="562">
        <v>132.69999999999999</v>
      </c>
      <c r="Q8" s="561">
        <v>678.96</v>
      </c>
      <c r="R8" s="562">
        <f t="shared" si="0"/>
        <v>419.1</v>
      </c>
      <c r="S8" s="567">
        <v>902.71</v>
      </c>
    </row>
    <row r="9" spans="1:19" x14ac:dyDescent="0.25">
      <c r="A9" s="568" t="s">
        <v>597</v>
      </c>
      <c r="B9" s="560">
        <v>170.8</v>
      </c>
      <c r="C9" s="561">
        <v>1181.25</v>
      </c>
      <c r="D9" s="562">
        <v>20.7</v>
      </c>
      <c r="E9" s="561">
        <v>1782.8</v>
      </c>
      <c r="F9" s="562">
        <v>40.299999999999997</v>
      </c>
      <c r="G9" s="561">
        <v>1313.83</v>
      </c>
      <c r="H9" s="562">
        <v>105.1</v>
      </c>
      <c r="I9" s="561">
        <v>1033.9100000000001</v>
      </c>
      <c r="J9" s="562">
        <v>4.7</v>
      </c>
      <c r="K9" s="561">
        <v>689.91</v>
      </c>
      <c r="L9" s="562">
        <v>0</v>
      </c>
      <c r="M9" s="561" t="s">
        <v>607</v>
      </c>
      <c r="N9" s="562">
        <v>26.6</v>
      </c>
      <c r="O9" s="561">
        <v>902.16</v>
      </c>
      <c r="P9" s="562">
        <v>298.39999999999998</v>
      </c>
      <c r="Q9" s="561">
        <v>559</v>
      </c>
      <c r="R9" s="562">
        <f t="shared" si="0"/>
        <v>495.79999999999995</v>
      </c>
      <c r="S9" s="567">
        <v>791.77</v>
      </c>
    </row>
    <row r="10" spans="1:19" x14ac:dyDescent="0.25">
      <c r="A10" s="568" t="s">
        <v>35</v>
      </c>
      <c r="B10" s="560">
        <v>552</v>
      </c>
      <c r="C10" s="561">
        <v>1162.25</v>
      </c>
      <c r="D10" s="562">
        <v>78</v>
      </c>
      <c r="E10" s="561">
        <v>1644.61</v>
      </c>
      <c r="F10" s="562">
        <v>103</v>
      </c>
      <c r="G10" s="561">
        <v>1352.15</v>
      </c>
      <c r="H10" s="562">
        <v>339</v>
      </c>
      <c r="I10" s="561">
        <v>1020.87</v>
      </c>
      <c r="J10" s="562">
        <v>20.5</v>
      </c>
      <c r="K10" s="561">
        <v>781.13</v>
      </c>
      <c r="L10" s="562">
        <v>11.5</v>
      </c>
      <c r="M10" s="561">
        <v>1036.75</v>
      </c>
      <c r="N10" s="562">
        <v>22</v>
      </c>
      <c r="O10" s="561">
        <v>1056.9100000000001</v>
      </c>
      <c r="P10" s="562">
        <v>389</v>
      </c>
      <c r="Q10" s="561">
        <v>748.57</v>
      </c>
      <c r="R10" s="562">
        <f t="shared" si="0"/>
        <v>963</v>
      </c>
      <c r="S10" s="567">
        <v>992.74</v>
      </c>
    </row>
    <row r="11" spans="1:19" ht="30" x14ac:dyDescent="0.25">
      <c r="A11" s="568" t="s">
        <v>205</v>
      </c>
      <c r="B11" s="560">
        <v>634.5</v>
      </c>
      <c r="C11" s="561">
        <v>1048.6400000000001</v>
      </c>
      <c r="D11" s="562">
        <v>87.7</v>
      </c>
      <c r="E11" s="561">
        <v>1454.31</v>
      </c>
      <c r="F11" s="562">
        <v>115.5</v>
      </c>
      <c r="G11" s="561">
        <v>1223.1199999999999</v>
      </c>
      <c r="H11" s="562">
        <v>401.6</v>
      </c>
      <c r="I11" s="561">
        <v>934.84</v>
      </c>
      <c r="J11" s="562">
        <v>23.6</v>
      </c>
      <c r="K11" s="561">
        <v>712.05</v>
      </c>
      <c r="L11" s="562">
        <v>6.1</v>
      </c>
      <c r="M11" s="561">
        <v>707.25</v>
      </c>
      <c r="N11" s="562">
        <v>11.9</v>
      </c>
      <c r="O11" s="561">
        <v>857.39</v>
      </c>
      <c r="P11" s="562">
        <v>525.1</v>
      </c>
      <c r="Q11" s="561">
        <v>540.84</v>
      </c>
      <c r="R11" s="562">
        <f t="shared" si="0"/>
        <v>1171.5</v>
      </c>
      <c r="S11" s="567">
        <v>819.09</v>
      </c>
    </row>
    <row r="12" spans="1:19" x14ac:dyDescent="0.25">
      <c r="A12" s="568" t="s">
        <v>40</v>
      </c>
      <c r="B12" s="560">
        <v>337</v>
      </c>
      <c r="C12" s="561">
        <v>1070.46</v>
      </c>
      <c r="D12" s="562">
        <v>51.3</v>
      </c>
      <c r="E12" s="561">
        <v>1499.32</v>
      </c>
      <c r="F12" s="562">
        <v>59.4</v>
      </c>
      <c r="G12" s="561">
        <v>1218.56</v>
      </c>
      <c r="H12" s="562">
        <v>220.3</v>
      </c>
      <c r="I12" s="561">
        <v>940.84</v>
      </c>
      <c r="J12" s="562">
        <v>6</v>
      </c>
      <c r="K12" s="561">
        <v>696.83</v>
      </c>
      <c r="L12" s="562">
        <v>0</v>
      </c>
      <c r="M12" s="561" t="s">
        <v>607</v>
      </c>
      <c r="N12" s="562">
        <v>9.6999999999999993</v>
      </c>
      <c r="O12" s="561">
        <v>831.16</v>
      </c>
      <c r="P12" s="562">
        <v>212.6</v>
      </c>
      <c r="Q12" s="561">
        <v>708.5</v>
      </c>
      <c r="R12" s="562">
        <f t="shared" si="0"/>
        <v>559.29999999999995</v>
      </c>
      <c r="S12" s="567">
        <v>928.72</v>
      </c>
    </row>
    <row r="13" spans="1:19" ht="30" customHeight="1" x14ac:dyDescent="0.25">
      <c r="A13" s="568" t="s">
        <v>30</v>
      </c>
      <c r="B13" s="560">
        <v>1110.0999999999999</v>
      </c>
      <c r="C13" s="561">
        <v>1360.08</v>
      </c>
      <c r="D13" s="562">
        <v>155.4</v>
      </c>
      <c r="E13" s="561">
        <v>2102.14</v>
      </c>
      <c r="F13" s="562">
        <v>332.7</v>
      </c>
      <c r="G13" s="561">
        <v>1528.49</v>
      </c>
      <c r="H13" s="562">
        <v>605.29999999999995</v>
      </c>
      <c r="I13" s="561">
        <v>1091.0999999999999</v>
      </c>
      <c r="J13" s="562">
        <v>9.6</v>
      </c>
      <c r="K13" s="561">
        <v>826.88</v>
      </c>
      <c r="L13" s="562">
        <v>7.1</v>
      </c>
      <c r="M13" s="561">
        <v>880.05</v>
      </c>
      <c r="N13" s="562">
        <v>309.89999999999998</v>
      </c>
      <c r="O13" s="561">
        <v>1010.05</v>
      </c>
      <c r="P13" s="562">
        <v>1444.7</v>
      </c>
      <c r="Q13" s="561">
        <v>712.33</v>
      </c>
      <c r="R13" s="562">
        <f t="shared" si="0"/>
        <v>2864.7</v>
      </c>
      <c r="S13" s="567">
        <v>995.55</v>
      </c>
    </row>
    <row r="14" spans="1:19" x14ac:dyDescent="0.25">
      <c r="A14" s="568" t="s">
        <v>31</v>
      </c>
      <c r="B14" s="560">
        <v>845</v>
      </c>
      <c r="C14" s="561">
        <v>1267.1199999999999</v>
      </c>
      <c r="D14" s="562">
        <v>127.5</v>
      </c>
      <c r="E14" s="561">
        <v>2008.15</v>
      </c>
      <c r="F14" s="562">
        <v>192</v>
      </c>
      <c r="G14" s="561">
        <v>1425.25</v>
      </c>
      <c r="H14" s="562">
        <v>517.70000000000005</v>
      </c>
      <c r="I14" s="561">
        <v>1033.3699999999999</v>
      </c>
      <c r="J14" s="562">
        <v>0.3</v>
      </c>
      <c r="K14" s="561">
        <v>708.06</v>
      </c>
      <c r="L14" s="562">
        <v>7.5</v>
      </c>
      <c r="M14" s="561">
        <v>778.87</v>
      </c>
      <c r="N14" s="562">
        <v>131.5</v>
      </c>
      <c r="O14" s="561">
        <v>877.18</v>
      </c>
      <c r="P14" s="562">
        <v>895.5</v>
      </c>
      <c r="Q14" s="561">
        <v>619.64</v>
      </c>
      <c r="R14" s="562">
        <f t="shared" si="0"/>
        <v>1872</v>
      </c>
      <c r="S14" s="567">
        <v>930</v>
      </c>
    </row>
    <row r="15" spans="1:19" x14ac:dyDescent="0.25">
      <c r="A15" s="568" t="s">
        <v>58</v>
      </c>
      <c r="B15" s="560">
        <v>653</v>
      </c>
      <c r="C15" s="561">
        <v>1089.33</v>
      </c>
      <c r="D15" s="562">
        <v>88.4</v>
      </c>
      <c r="E15" s="561">
        <v>1700.3</v>
      </c>
      <c r="F15" s="562">
        <v>137.4</v>
      </c>
      <c r="G15" s="561">
        <v>1227.17</v>
      </c>
      <c r="H15" s="562">
        <v>415.6</v>
      </c>
      <c r="I15" s="561">
        <v>923.47</v>
      </c>
      <c r="J15" s="562">
        <v>3.6</v>
      </c>
      <c r="K15" s="561">
        <v>621.88</v>
      </c>
      <c r="L15" s="562">
        <v>8</v>
      </c>
      <c r="M15" s="561">
        <v>797.15</v>
      </c>
      <c r="N15" s="562">
        <v>152.19999999999999</v>
      </c>
      <c r="O15" s="561">
        <v>772.22</v>
      </c>
      <c r="P15" s="562">
        <v>678.2</v>
      </c>
      <c r="Q15" s="561">
        <v>582.11</v>
      </c>
      <c r="R15" s="562">
        <f t="shared" si="0"/>
        <v>1483.4</v>
      </c>
      <c r="S15" s="567">
        <v>824.89</v>
      </c>
    </row>
    <row r="16" spans="1:19" ht="31.5" customHeight="1" x14ac:dyDescent="0.25">
      <c r="A16" s="568" t="s">
        <v>598</v>
      </c>
      <c r="B16" s="560">
        <v>224</v>
      </c>
      <c r="C16" s="561">
        <v>1061.57</v>
      </c>
      <c r="D16" s="562">
        <v>26.1</v>
      </c>
      <c r="E16" s="561">
        <v>1399.25</v>
      </c>
      <c r="F16" s="562">
        <v>32.700000000000003</v>
      </c>
      <c r="G16" s="561">
        <v>1351.73</v>
      </c>
      <c r="H16" s="562">
        <v>163.4</v>
      </c>
      <c r="I16" s="561">
        <v>950.35</v>
      </c>
      <c r="J16" s="562">
        <v>1.8</v>
      </c>
      <c r="K16" s="561">
        <v>989.95</v>
      </c>
      <c r="L16" s="562">
        <v>0</v>
      </c>
      <c r="M16" s="561" t="s">
        <v>607</v>
      </c>
      <c r="N16" s="562">
        <v>10.6</v>
      </c>
      <c r="O16" s="561">
        <v>919.28</v>
      </c>
      <c r="P16" s="562">
        <v>190.8</v>
      </c>
      <c r="Q16" s="561">
        <v>692.84</v>
      </c>
      <c r="R16" s="562">
        <f t="shared" si="0"/>
        <v>425.4</v>
      </c>
      <c r="S16" s="567">
        <v>892.64</v>
      </c>
    </row>
    <row r="17" spans="1:19" x14ac:dyDescent="0.25">
      <c r="A17" s="568" t="s">
        <v>33</v>
      </c>
      <c r="B17" s="560">
        <v>643.5</v>
      </c>
      <c r="C17" s="561">
        <v>1038.56</v>
      </c>
      <c r="D17" s="562">
        <v>71.3</v>
      </c>
      <c r="E17" s="561">
        <v>1523.49</v>
      </c>
      <c r="F17" s="562">
        <v>106.5</v>
      </c>
      <c r="G17" s="561">
        <v>1279.0899999999999</v>
      </c>
      <c r="H17" s="562">
        <v>454</v>
      </c>
      <c r="I17" s="561">
        <v>914.36</v>
      </c>
      <c r="J17" s="562">
        <v>8.6999999999999993</v>
      </c>
      <c r="K17" s="561">
        <v>670.45</v>
      </c>
      <c r="L17" s="562">
        <v>3</v>
      </c>
      <c r="M17" s="561">
        <v>837.67</v>
      </c>
      <c r="N17" s="562">
        <v>32.9</v>
      </c>
      <c r="O17" s="561">
        <v>975.3</v>
      </c>
      <c r="P17" s="562">
        <v>608</v>
      </c>
      <c r="Q17" s="561">
        <v>580.17999999999995</v>
      </c>
      <c r="R17" s="562">
        <f t="shared" si="0"/>
        <v>1284.4000000000001</v>
      </c>
      <c r="S17" s="567">
        <v>819.95</v>
      </c>
    </row>
    <row r="18" spans="1:19" x14ac:dyDescent="0.25">
      <c r="A18" s="568" t="s">
        <v>38</v>
      </c>
      <c r="B18" s="560">
        <v>457.3</v>
      </c>
      <c r="C18" s="561">
        <v>1033.8900000000001</v>
      </c>
      <c r="D18" s="562">
        <v>55.2</v>
      </c>
      <c r="E18" s="561">
        <v>1372.29</v>
      </c>
      <c r="F18" s="562">
        <v>107.8</v>
      </c>
      <c r="G18" s="561">
        <v>1218.1199999999999</v>
      </c>
      <c r="H18" s="562">
        <v>293.3</v>
      </c>
      <c r="I18" s="561">
        <v>902.79</v>
      </c>
      <c r="J18" s="562">
        <v>1</v>
      </c>
      <c r="K18" s="561">
        <v>947.92</v>
      </c>
      <c r="L18" s="562">
        <v>0</v>
      </c>
      <c r="M18" s="561" t="s">
        <v>607</v>
      </c>
      <c r="N18" s="562">
        <v>104.2</v>
      </c>
      <c r="O18" s="561">
        <v>595.55999999999995</v>
      </c>
      <c r="P18" s="562">
        <v>647.70000000000005</v>
      </c>
      <c r="Q18" s="561">
        <v>561.07000000000005</v>
      </c>
      <c r="R18" s="562">
        <f t="shared" si="0"/>
        <v>1209.2</v>
      </c>
      <c r="S18" s="567">
        <v>742.86</v>
      </c>
    </row>
    <row r="19" spans="1:19" x14ac:dyDescent="0.25">
      <c r="A19" s="568" t="s">
        <v>44</v>
      </c>
      <c r="B19" s="560">
        <v>272.2</v>
      </c>
      <c r="C19" s="561">
        <v>1052.51</v>
      </c>
      <c r="D19" s="562">
        <v>36.5</v>
      </c>
      <c r="E19" s="561">
        <v>1642.98</v>
      </c>
      <c r="F19" s="562">
        <v>68.8</v>
      </c>
      <c r="G19" s="561">
        <v>1232.73</v>
      </c>
      <c r="H19" s="562">
        <v>166.9</v>
      </c>
      <c r="I19" s="561">
        <v>849.09</v>
      </c>
      <c r="J19" s="562">
        <v>0</v>
      </c>
      <c r="K19" s="561" t="s">
        <v>607</v>
      </c>
      <c r="L19" s="562">
        <v>0</v>
      </c>
      <c r="M19" s="561" t="s">
        <v>607</v>
      </c>
      <c r="N19" s="562">
        <v>65.900000000000006</v>
      </c>
      <c r="O19" s="561">
        <v>708.63</v>
      </c>
      <c r="P19" s="562">
        <v>456.7</v>
      </c>
      <c r="Q19" s="561">
        <v>522.87</v>
      </c>
      <c r="R19" s="562">
        <f t="shared" si="0"/>
        <v>794.8</v>
      </c>
      <c r="S19" s="567">
        <v>719.66</v>
      </c>
    </row>
    <row r="20" spans="1:19" ht="34.5" customHeight="1" x14ac:dyDescent="0.25">
      <c r="A20" s="568" t="s">
        <v>49</v>
      </c>
      <c r="B20" s="560">
        <v>167.2</v>
      </c>
      <c r="C20" s="561">
        <v>1009.73</v>
      </c>
      <c r="D20" s="562">
        <v>32.200000000000003</v>
      </c>
      <c r="E20" s="561">
        <v>1195.1400000000001</v>
      </c>
      <c r="F20" s="562">
        <v>44.7</v>
      </c>
      <c r="G20" s="561">
        <v>1093.28</v>
      </c>
      <c r="H20" s="562">
        <v>70.599999999999994</v>
      </c>
      <c r="I20" s="561">
        <v>902.09</v>
      </c>
      <c r="J20" s="562">
        <v>19.7</v>
      </c>
      <c r="K20" s="561">
        <v>902.84</v>
      </c>
      <c r="L20" s="562">
        <v>0</v>
      </c>
      <c r="M20" s="561" t="s">
        <v>607</v>
      </c>
      <c r="N20" s="562">
        <v>25.4</v>
      </c>
      <c r="O20" s="561">
        <v>809.97</v>
      </c>
      <c r="P20" s="562">
        <v>80.599999999999994</v>
      </c>
      <c r="Q20" s="561">
        <v>764.49</v>
      </c>
      <c r="R20" s="562">
        <f t="shared" si="0"/>
        <v>273.2</v>
      </c>
      <c r="S20" s="567">
        <v>918.81</v>
      </c>
    </row>
    <row r="21" spans="1:19" ht="30" x14ac:dyDescent="0.25">
      <c r="A21" s="568" t="s">
        <v>52</v>
      </c>
      <c r="B21" s="560">
        <v>99.4</v>
      </c>
      <c r="C21" s="561">
        <v>1052.78</v>
      </c>
      <c r="D21" s="562">
        <v>15.1</v>
      </c>
      <c r="E21" s="561">
        <v>1409.32</v>
      </c>
      <c r="F21" s="562">
        <v>15.1</v>
      </c>
      <c r="G21" s="561">
        <v>1259.82</v>
      </c>
      <c r="H21" s="562">
        <v>44.8</v>
      </c>
      <c r="I21" s="561">
        <v>1008.98</v>
      </c>
      <c r="J21" s="562">
        <v>24.4</v>
      </c>
      <c r="K21" s="561">
        <v>784.42</v>
      </c>
      <c r="L21" s="562">
        <v>0</v>
      </c>
      <c r="M21" s="561" t="s">
        <v>607</v>
      </c>
      <c r="N21" s="562">
        <v>16.399999999999999</v>
      </c>
      <c r="O21" s="561">
        <v>926.94</v>
      </c>
      <c r="P21" s="562">
        <v>84.6</v>
      </c>
      <c r="Q21" s="561">
        <v>698.36</v>
      </c>
      <c r="R21" s="562">
        <f t="shared" si="0"/>
        <v>200.4</v>
      </c>
      <c r="S21" s="567">
        <v>892.86</v>
      </c>
    </row>
    <row r="22" spans="1:19" ht="15.75" customHeight="1" x14ac:dyDescent="0.25">
      <c r="A22" s="568" t="s">
        <v>206</v>
      </c>
      <c r="B22" s="560">
        <v>96.3</v>
      </c>
      <c r="C22" s="561">
        <v>993.31</v>
      </c>
      <c r="D22" s="562">
        <v>32.299999999999997</v>
      </c>
      <c r="E22" s="561">
        <v>1182.08</v>
      </c>
      <c r="F22" s="562">
        <v>14.1</v>
      </c>
      <c r="G22" s="561">
        <v>1097.6600000000001</v>
      </c>
      <c r="H22" s="562">
        <v>40.6</v>
      </c>
      <c r="I22" s="561">
        <v>883.26</v>
      </c>
      <c r="J22" s="562">
        <v>9.3000000000000007</v>
      </c>
      <c r="K22" s="561">
        <v>659.89</v>
      </c>
      <c r="L22" s="562">
        <v>0</v>
      </c>
      <c r="M22" s="561" t="s">
        <v>607</v>
      </c>
      <c r="N22" s="562">
        <v>0</v>
      </c>
      <c r="O22" s="561" t="s">
        <v>607</v>
      </c>
      <c r="P22" s="562">
        <v>62.5</v>
      </c>
      <c r="Q22" s="561">
        <v>640.04</v>
      </c>
      <c r="R22" s="562">
        <f t="shared" si="0"/>
        <v>158.80000000000001</v>
      </c>
      <c r="S22" s="567">
        <v>854.27</v>
      </c>
    </row>
    <row r="23" spans="1:19" ht="34.5" customHeight="1" x14ac:dyDescent="0.25">
      <c r="A23" s="568" t="s">
        <v>207</v>
      </c>
      <c r="B23" s="560">
        <v>371.1</v>
      </c>
      <c r="C23" s="561">
        <v>1042.98</v>
      </c>
      <c r="D23" s="562">
        <v>61.6</v>
      </c>
      <c r="E23" s="561">
        <v>1390.3</v>
      </c>
      <c r="F23" s="562">
        <v>80.5</v>
      </c>
      <c r="G23" s="561">
        <v>1032.52</v>
      </c>
      <c r="H23" s="562">
        <v>195.6</v>
      </c>
      <c r="I23" s="561">
        <v>976.92</v>
      </c>
      <c r="J23" s="562">
        <v>30.6</v>
      </c>
      <c r="K23" s="561">
        <v>816.52</v>
      </c>
      <c r="L23" s="562">
        <v>2.8</v>
      </c>
      <c r="M23" s="561">
        <v>792.2</v>
      </c>
      <c r="N23" s="562">
        <v>8.5</v>
      </c>
      <c r="O23" s="561">
        <v>692.05</v>
      </c>
      <c r="P23" s="562">
        <v>232.6</v>
      </c>
      <c r="Q23" s="561">
        <v>636.86</v>
      </c>
      <c r="R23" s="562">
        <f t="shared" si="0"/>
        <v>612.20000000000005</v>
      </c>
      <c r="S23" s="567">
        <v>883.8</v>
      </c>
    </row>
    <row r="24" spans="1:19" ht="30.75" thickBot="1" x14ac:dyDescent="0.3">
      <c r="A24" s="576" t="s">
        <v>48</v>
      </c>
      <c r="B24" s="577">
        <v>79.400000000000006</v>
      </c>
      <c r="C24" s="578">
        <v>1015.77</v>
      </c>
      <c r="D24" s="579">
        <v>16.7</v>
      </c>
      <c r="E24" s="578">
        <v>1311.46</v>
      </c>
      <c r="F24" s="579">
        <v>9.3000000000000007</v>
      </c>
      <c r="G24" s="578">
        <v>1240.74</v>
      </c>
      <c r="H24" s="579">
        <v>26</v>
      </c>
      <c r="I24" s="578">
        <v>968.89</v>
      </c>
      <c r="J24" s="579">
        <v>27.4</v>
      </c>
      <c r="K24" s="578">
        <v>803.68</v>
      </c>
      <c r="L24" s="579">
        <v>0</v>
      </c>
      <c r="M24" s="578" t="s">
        <v>607</v>
      </c>
      <c r="N24" s="579">
        <v>0</v>
      </c>
      <c r="O24" s="578" t="s">
        <v>607</v>
      </c>
      <c r="P24" s="579">
        <v>74.599999999999994</v>
      </c>
      <c r="Q24" s="578">
        <v>673.51</v>
      </c>
      <c r="R24" s="579">
        <f t="shared" si="0"/>
        <v>154</v>
      </c>
      <c r="S24" s="580">
        <v>849.98</v>
      </c>
    </row>
    <row r="25" spans="1:19" s="64" customFormat="1" ht="15.75" thickBot="1" x14ac:dyDescent="0.3">
      <c r="A25" s="322" t="s">
        <v>21</v>
      </c>
      <c r="B25" s="563">
        <f>SUM(B5:B24)</f>
        <v>10035</v>
      </c>
      <c r="C25" s="564">
        <v>1144.55</v>
      </c>
      <c r="D25" s="565">
        <f>SUM(D5:D24)</f>
        <v>1425.7999999999997</v>
      </c>
      <c r="E25" s="564">
        <v>1679.66</v>
      </c>
      <c r="F25" s="565">
        <f>SUM(F5:F24)</f>
        <v>2118</v>
      </c>
      <c r="G25" s="564">
        <v>1329.76</v>
      </c>
      <c r="H25" s="565">
        <f>SUM(H5:H24)</f>
        <v>6021.5000000000009</v>
      </c>
      <c r="I25" s="564">
        <v>979.48</v>
      </c>
      <c r="J25" s="565">
        <f>SUM(J5:J24)</f>
        <v>331.4</v>
      </c>
      <c r="K25" s="564">
        <v>772.01</v>
      </c>
      <c r="L25" s="565">
        <f>SUM(L5:L24)</f>
        <v>138.30000000000001</v>
      </c>
      <c r="M25" s="564">
        <v>871.02</v>
      </c>
      <c r="N25" s="565">
        <f>SUM(N5:N24)</f>
        <v>1535.2000000000003</v>
      </c>
      <c r="O25" s="564">
        <v>917.69</v>
      </c>
      <c r="P25" s="565">
        <f>SUM(P5:P24)</f>
        <v>10102.500000000004</v>
      </c>
      <c r="Q25" s="564">
        <v>644.65</v>
      </c>
      <c r="R25" s="565">
        <f>SUM(R5:R24)</f>
        <v>21672.700000000008</v>
      </c>
      <c r="S25" s="566">
        <v>895.46</v>
      </c>
    </row>
    <row r="26" spans="1:19" x14ac:dyDescent="0.25">
      <c r="A26" s="65" t="s">
        <v>208</v>
      </c>
      <c r="B26" s="66"/>
      <c r="C26" s="67"/>
      <c r="D26" s="66"/>
      <c r="E26" s="67"/>
      <c r="F26" s="66"/>
      <c r="G26" s="67"/>
      <c r="H26" s="66"/>
      <c r="I26" s="67"/>
      <c r="J26" s="66"/>
      <c r="K26" s="67"/>
      <c r="L26" s="66"/>
      <c r="M26" s="67"/>
      <c r="N26" s="66"/>
      <c r="O26" s="67"/>
      <c r="P26" s="66"/>
      <c r="Q26" s="67"/>
      <c r="R26" s="66"/>
      <c r="S26" s="67"/>
    </row>
    <row r="27" spans="1:19" x14ac:dyDescent="0.25">
      <c r="A27" s="68"/>
      <c r="B27" s="66"/>
      <c r="C27" s="67"/>
      <c r="D27" s="66"/>
      <c r="E27" s="67"/>
      <c r="F27" s="66"/>
      <c r="G27" s="67"/>
      <c r="H27" s="66"/>
      <c r="I27" s="67"/>
      <c r="J27" s="66"/>
      <c r="K27" s="67"/>
      <c r="L27" s="66"/>
      <c r="M27" s="67"/>
      <c r="N27" s="66"/>
      <c r="O27" s="67"/>
      <c r="P27" s="66"/>
      <c r="Q27" s="67"/>
      <c r="R27" s="66"/>
      <c r="S27" s="67"/>
    </row>
    <row r="28" spans="1:19" x14ac:dyDescent="0.25">
      <c r="A28" s="68"/>
      <c r="B28" s="69"/>
      <c r="C28" s="67"/>
      <c r="D28" s="66"/>
      <c r="E28" s="67"/>
      <c r="F28" s="66"/>
      <c r="G28" s="67"/>
      <c r="H28" s="66"/>
      <c r="I28" s="67"/>
      <c r="J28" s="66"/>
      <c r="K28" s="67"/>
      <c r="L28" s="66"/>
      <c r="M28" s="67"/>
      <c r="N28" s="66"/>
      <c r="O28" s="67"/>
      <c r="P28" s="66"/>
      <c r="Q28" s="67"/>
      <c r="R28" s="66"/>
      <c r="S28" s="67"/>
    </row>
    <row r="29" spans="1:19" ht="16.5" customHeight="1" x14ac:dyDescent="0.25"/>
  </sheetData>
  <mergeCells count="11">
    <mergeCell ref="A2:A3"/>
    <mergeCell ref="B2:B3"/>
    <mergeCell ref="C2:C3"/>
    <mergeCell ref="D2:M2"/>
    <mergeCell ref="A1:S1"/>
    <mergeCell ref="N2:N3"/>
    <mergeCell ref="O2:O3"/>
    <mergeCell ref="P2:P3"/>
    <mergeCell ref="Q2:Q3"/>
    <mergeCell ref="R2:R3"/>
    <mergeCell ref="S2:S3"/>
  </mergeCells>
  <pageMargins left="0.51181102362204722" right="0" top="0.74803149606299213" bottom="0.55118110236220474" header="0.11811023622047245" footer="0.11811023622047245"/>
  <pageSetup paperSize="9" scale="80" orientation="landscape" r:id="rId1"/>
  <headerFoot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opLeftCell="A7" workbookViewId="0">
      <selection activeCell="B22" sqref="B22"/>
    </sheetView>
  </sheetViews>
  <sheetFormatPr defaultRowHeight="15" x14ac:dyDescent="0.25"/>
  <cols>
    <col min="1" max="1" width="26.85546875" style="118" customWidth="1"/>
    <col min="2" max="2" width="18.85546875" style="119" customWidth="1"/>
    <col min="3" max="3" width="16.28515625" style="118" customWidth="1"/>
    <col min="4" max="4" width="20.85546875" style="14" customWidth="1"/>
    <col min="5" max="5" width="20.140625" style="14" customWidth="1"/>
    <col min="6" max="6" width="17.7109375" style="118" customWidth="1"/>
    <col min="7" max="7" width="15" style="118" customWidth="1"/>
    <col min="8" max="8" width="14.5703125" style="14" customWidth="1"/>
    <col min="9" max="9" width="7.28515625" style="14" customWidth="1"/>
    <col min="10" max="10" width="27.5703125" style="118" customWidth="1"/>
    <col min="11" max="11" width="7.85546875" style="118" customWidth="1"/>
    <col min="12" max="12" width="11.5703125" style="118" customWidth="1"/>
    <col min="13" max="13" width="13.42578125" style="118" customWidth="1"/>
    <col min="14" max="14" width="34.85546875" style="118" customWidth="1"/>
    <col min="15" max="16384" width="9.140625" style="118"/>
  </cols>
  <sheetData>
    <row r="1" spans="1:15" ht="24.75" customHeight="1" x14ac:dyDescent="0.25">
      <c r="A1" s="1019" t="s">
        <v>590</v>
      </c>
      <c r="B1" s="1019"/>
      <c r="C1" s="1019"/>
      <c r="D1" s="1019"/>
      <c r="L1" s="116"/>
      <c r="M1" s="115"/>
      <c r="N1" s="14"/>
      <c r="O1" s="323"/>
    </row>
    <row r="2" spans="1:15" ht="15.75" thickBot="1" x14ac:dyDescent="0.3">
      <c r="A2" s="14"/>
      <c r="C2" s="115"/>
      <c r="L2" s="116"/>
      <c r="M2" s="115"/>
      <c r="N2" s="14"/>
      <c r="O2" s="323"/>
    </row>
    <row r="3" spans="1:15" ht="60" customHeight="1" thickBot="1" x14ac:dyDescent="0.3">
      <c r="A3" s="879" t="s">
        <v>56</v>
      </c>
      <c r="B3" s="878" t="s">
        <v>578</v>
      </c>
      <c r="C3" s="455" t="s">
        <v>579</v>
      </c>
      <c r="D3" s="456" t="s">
        <v>580</v>
      </c>
      <c r="L3" s="116"/>
      <c r="M3" s="115"/>
      <c r="N3" s="14"/>
      <c r="O3" s="323"/>
    </row>
    <row r="4" spans="1:15" x14ac:dyDescent="0.25">
      <c r="A4" s="480" t="s">
        <v>29</v>
      </c>
      <c r="B4" s="869">
        <v>58.6</v>
      </c>
      <c r="C4" s="870">
        <v>16</v>
      </c>
      <c r="D4" s="875">
        <v>9</v>
      </c>
      <c r="L4" s="116"/>
      <c r="M4" s="115"/>
      <c r="N4" s="14"/>
      <c r="O4" s="323"/>
    </row>
    <row r="5" spans="1:15" x14ac:dyDescent="0.25">
      <c r="A5" s="481" t="s">
        <v>39</v>
      </c>
      <c r="B5" s="871">
        <v>57.5</v>
      </c>
      <c r="C5" s="872">
        <v>2</v>
      </c>
      <c r="D5" s="876">
        <v>2</v>
      </c>
      <c r="E5" s="118"/>
      <c r="H5" s="118"/>
      <c r="L5" s="116"/>
      <c r="M5" s="115"/>
      <c r="N5" s="14"/>
      <c r="O5" s="323"/>
    </row>
    <row r="6" spans="1:15" x14ac:dyDescent="0.25">
      <c r="A6" s="481" t="s">
        <v>37</v>
      </c>
      <c r="B6" s="871">
        <v>55.5</v>
      </c>
      <c r="C6" s="872">
        <v>2</v>
      </c>
      <c r="D6" s="876">
        <v>2</v>
      </c>
      <c r="E6" s="118"/>
      <c r="H6" s="118"/>
      <c r="L6" s="116"/>
      <c r="M6" s="115"/>
      <c r="N6" s="14"/>
      <c r="O6" s="323"/>
    </row>
    <row r="7" spans="1:15" x14ac:dyDescent="0.25">
      <c r="A7" s="481" t="s">
        <v>181</v>
      </c>
      <c r="B7" s="871">
        <v>57.5</v>
      </c>
      <c r="C7" s="872">
        <v>2</v>
      </c>
      <c r="D7" s="876">
        <v>2</v>
      </c>
      <c r="E7" s="118"/>
      <c r="H7" s="118"/>
      <c r="L7" s="116"/>
      <c r="M7" s="115"/>
      <c r="N7" s="14"/>
      <c r="O7" s="323"/>
    </row>
    <row r="8" spans="1:15" x14ac:dyDescent="0.25">
      <c r="A8" s="481" t="s">
        <v>35</v>
      </c>
      <c r="B8" s="871">
        <v>56.2</v>
      </c>
      <c r="C8" s="872">
        <v>6</v>
      </c>
      <c r="D8" s="876">
        <v>2</v>
      </c>
      <c r="E8" s="118"/>
      <c r="H8" s="118"/>
      <c r="L8" s="116"/>
      <c r="M8" s="115"/>
      <c r="N8" s="14"/>
      <c r="O8" s="323"/>
    </row>
    <row r="9" spans="1:15" x14ac:dyDescent="0.25">
      <c r="A9" s="481" t="s">
        <v>205</v>
      </c>
      <c r="B9" s="871">
        <v>55.4</v>
      </c>
      <c r="C9" s="872">
        <v>5</v>
      </c>
      <c r="D9" s="876">
        <v>4</v>
      </c>
      <c r="E9" s="118"/>
      <c r="H9" s="118"/>
      <c r="L9" s="116"/>
      <c r="M9" s="115"/>
      <c r="N9" s="14"/>
      <c r="O9" s="323"/>
    </row>
    <row r="10" spans="1:15" x14ac:dyDescent="0.25">
      <c r="A10" s="481" t="s">
        <v>40</v>
      </c>
      <c r="B10" s="871">
        <v>62</v>
      </c>
      <c r="C10" s="872">
        <v>4</v>
      </c>
      <c r="D10" s="876">
        <v>2</v>
      </c>
      <c r="E10" s="118"/>
      <c r="H10" s="118"/>
      <c r="L10" s="116"/>
      <c r="M10" s="115"/>
      <c r="N10" s="14"/>
      <c r="O10" s="323"/>
    </row>
    <row r="11" spans="1:15" x14ac:dyDescent="0.25">
      <c r="A11" s="481" t="s">
        <v>30</v>
      </c>
      <c r="B11" s="871">
        <v>54.4</v>
      </c>
      <c r="C11" s="872">
        <v>15</v>
      </c>
      <c r="D11" s="876">
        <v>12</v>
      </c>
      <c r="E11" s="118"/>
      <c r="H11" s="118"/>
      <c r="L11" s="116"/>
      <c r="M11" s="115"/>
      <c r="N11" s="14"/>
      <c r="O11" s="323"/>
    </row>
    <row r="12" spans="1:15" x14ac:dyDescent="0.25">
      <c r="A12" s="481" t="s">
        <v>31</v>
      </c>
      <c r="B12" s="871">
        <v>54.9</v>
      </c>
      <c r="C12" s="872">
        <v>10</v>
      </c>
      <c r="D12" s="876">
        <v>7</v>
      </c>
      <c r="E12" s="118"/>
      <c r="H12" s="118"/>
      <c r="L12" s="116"/>
      <c r="M12" s="115"/>
      <c r="N12" s="14"/>
      <c r="O12" s="323"/>
    </row>
    <row r="13" spans="1:15" x14ac:dyDescent="0.25">
      <c r="A13" s="481" t="s">
        <v>58</v>
      </c>
      <c r="B13" s="871">
        <v>50.7</v>
      </c>
      <c r="C13" s="872">
        <v>6</v>
      </c>
      <c r="D13" s="876">
        <v>6</v>
      </c>
      <c r="E13" s="118"/>
      <c r="H13" s="118"/>
      <c r="L13" s="116"/>
      <c r="M13" s="115"/>
      <c r="N13" s="14"/>
      <c r="O13" s="323"/>
    </row>
    <row r="14" spans="1:15" x14ac:dyDescent="0.25">
      <c r="A14" s="481" t="s">
        <v>33</v>
      </c>
      <c r="B14" s="871">
        <v>59.3</v>
      </c>
      <c r="C14" s="872">
        <v>4</v>
      </c>
      <c r="D14" s="876">
        <v>4</v>
      </c>
      <c r="E14" s="118"/>
      <c r="H14" s="118"/>
      <c r="L14" s="116"/>
      <c r="M14" s="115"/>
      <c r="N14" s="14"/>
      <c r="O14" s="323"/>
    </row>
    <row r="15" spans="1:15" x14ac:dyDescent="0.25">
      <c r="A15" s="481" t="s">
        <v>38</v>
      </c>
      <c r="B15" s="884">
        <v>54.1</v>
      </c>
      <c r="C15" s="872">
        <v>7</v>
      </c>
      <c r="D15" s="876">
        <v>5</v>
      </c>
      <c r="E15" s="118"/>
      <c r="H15" s="118"/>
      <c r="L15" s="116"/>
      <c r="M15" s="115"/>
      <c r="N15" s="14"/>
      <c r="O15" s="323"/>
    </row>
    <row r="16" spans="1:15" x14ac:dyDescent="0.25">
      <c r="A16" s="481" t="s">
        <v>44</v>
      </c>
      <c r="B16" s="884">
        <v>45</v>
      </c>
      <c r="C16" s="872">
        <v>1</v>
      </c>
      <c r="D16" s="876">
        <v>0</v>
      </c>
      <c r="E16" s="118"/>
      <c r="H16" s="118"/>
      <c r="L16" s="116"/>
      <c r="M16" s="115"/>
      <c r="N16" s="14"/>
      <c r="O16" s="323"/>
    </row>
    <row r="17" spans="1:15" x14ac:dyDescent="0.25">
      <c r="A17" s="481" t="s">
        <v>49</v>
      </c>
      <c r="B17" s="884">
        <v>52.8</v>
      </c>
      <c r="C17" s="872">
        <v>5</v>
      </c>
      <c r="D17" s="876">
        <v>4</v>
      </c>
      <c r="E17" s="118"/>
      <c r="H17" s="118"/>
      <c r="L17" s="116"/>
      <c r="M17" s="115"/>
      <c r="N17" s="14"/>
      <c r="O17" s="323"/>
    </row>
    <row r="18" spans="1:15" x14ac:dyDescent="0.25">
      <c r="A18" s="481" t="s">
        <v>52</v>
      </c>
      <c r="B18" s="884">
        <v>61.5</v>
      </c>
      <c r="C18" s="872">
        <v>2</v>
      </c>
      <c r="D18" s="876">
        <v>2</v>
      </c>
      <c r="E18" s="118"/>
      <c r="H18" s="118"/>
      <c r="L18" s="116"/>
      <c r="M18" s="115"/>
      <c r="N18" s="14"/>
      <c r="O18" s="323"/>
    </row>
    <row r="19" spans="1:15" x14ac:dyDescent="0.25">
      <c r="A19" s="481" t="s">
        <v>207</v>
      </c>
      <c r="B19" s="884">
        <v>53.4</v>
      </c>
      <c r="C19" s="872">
        <v>10</v>
      </c>
      <c r="D19" s="876">
        <v>5</v>
      </c>
      <c r="E19" s="118"/>
      <c r="H19" s="118"/>
      <c r="L19" s="116"/>
      <c r="M19" s="115"/>
      <c r="N19" s="117"/>
      <c r="O19" s="323"/>
    </row>
    <row r="20" spans="1:15" ht="15.75" thickBot="1" x14ac:dyDescent="0.3">
      <c r="A20" s="482" t="s">
        <v>650</v>
      </c>
      <c r="B20" s="885">
        <v>53</v>
      </c>
      <c r="C20" s="873">
        <v>1</v>
      </c>
      <c r="D20" s="876">
        <v>0</v>
      </c>
      <c r="E20" s="118"/>
      <c r="H20" s="118"/>
      <c r="L20" s="116"/>
      <c r="M20" s="115"/>
      <c r="N20" s="117"/>
      <c r="O20" s="323"/>
    </row>
    <row r="21" spans="1:15" ht="15.75" thickBot="1" x14ac:dyDescent="0.3">
      <c r="A21" s="483" t="s">
        <v>21</v>
      </c>
      <c r="B21" s="886">
        <v>55.6</v>
      </c>
      <c r="C21" s="874">
        <v>98</v>
      </c>
      <c r="D21" s="877">
        <v>68</v>
      </c>
      <c r="E21" s="118"/>
      <c r="H21" s="118"/>
      <c r="L21" s="116"/>
      <c r="M21" s="115"/>
      <c r="N21" s="117"/>
      <c r="O21" s="323"/>
    </row>
    <row r="22" spans="1:15" x14ac:dyDescent="0.25">
      <c r="A22" s="453"/>
      <c r="B22" s="453"/>
      <c r="C22" s="453"/>
      <c r="D22" s="453"/>
      <c r="E22" s="118"/>
      <c r="H22" s="118"/>
      <c r="L22" s="116"/>
      <c r="M22" s="115"/>
      <c r="N22" s="117"/>
      <c r="O22" s="323"/>
    </row>
    <row r="23" spans="1:15" ht="15.75" thickBot="1" x14ac:dyDescent="0.3">
      <c r="B23" s="118"/>
      <c r="D23" s="118"/>
      <c r="F23" s="454"/>
      <c r="G23" s="454"/>
      <c r="H23" s="454"/>
      <c r="L23" s="116"/>
      <c r="M23" s="115"/>
      <c r="N23" s="117"/>
      <c r="O23" s="323"/>
    </row>
    <row r="24" spans="1:15" ht="15.75" thickBot="1" x14ac:dyDescent="0.3">
      <c r="A24" s="1020" t="s">
        <v>591</v>
      </c>
      <c r="B24" s="1021"/>
      <c r="C24" s="799" t="s">
        <v>578</v>
      </c>
      <c r="D24" s="457" t="s">
        <v>592</v>
      </c>
      <c r="E24" s="118"/>
      <c r="L24" s="116"/>
      <c r="M24" s="115"/>
      <c r="N24" s="117"/>
      <c r="O24" s="323"/>
    </row>
    <row r="25" spans="1:15" x14ac:dyDescent="0.25">
      <c r="A25" s="1022" t="s">
        <v>583</v>
      </c>
      <c r="B25" s="1023"/>
      <c r="C25" s="880">
        <v>53.333333333333336</v>
      </c>
      <c r="D25" s="865">
        <v>24</v>
      </c>
      <c r="E25" s="118"/>
      <c r="H25" s="118"/>
      <c r="L25" s="116"/>
      <c r="M25" s="115"/>
      <c r="N25" s="117"/>
      <c r="O25" s="323"/>
    </row>
    <row r="26" spans="1:15" x14ac:dyDescent="0.25">
      <c r="A26" s="1024" t="s">
        <v>581</v>
      </c>
      <c r="B26" s="1025"/>
      <c r="C26" s="881">
        <v>54.368421052631582</v>
      </c>
      <c r="D26" s="866">
        <v>19</v>
      </c>
      <c r="E26" s="118"/>
      <c r="H26" s="118"/>
      <c r="L26" s="116"/>
      <c r="M26" s="115"/>
      <c r="N26" s="117"/>
      <c r="O26" s="323"/>
    </row>
    <row r="27" spans="1:15" x14ac:dyDescent="0.25">
      <c r="A27" s="1024" t="s">
        <v>587</v>
      </c>
      <c r="B27" s="1025"/>
      <c r="C27" s="881">
        <v>56.75</v>
      </c>
      <c r="D27" s="866">
        <v>16</v>
      </c>
      <c r="E27" s="118"/>
      <c r="H27" s="118"/>
      <c r="L27" s="116"/>
      <c r="M27" s="115"/>
      <c r="N27" s="117"/>
      <c r="O27" s="323"/>
    </row>
    <row r="28" spans="1:15" x14ac:dyDescent="0.25">
      <c r="A28" s="1024" t="s">
        <v>585</v>
      </c>
      <c r="B28" s="1025"/>
      <c r="C28" s="881">
        <v>57.555555555555557</v>
      </c>
      <c r="D28" s="866">
        <v>9</v>
      </c>
      <c r="E28" s="118"/>
      <c r="H28" s="118"/>
      <c r="L28" s="116"/>
      <c r="M28" s="115"/>
      <c r="N28" s="117"/>
      <c r="O28" s="323"/>
    </row>
    <row r="29" spans="1:15" x14ac:dyDescent="0.25">
      <c r="A29" s="1024" t="s">
        <v>588</v>
      </c>
      <c r="B29" s="1025"/>
      <c r="C29" s="881">
        <v>57</v>
      </c>
      <c r="D29" s="866">
        <v>8</v>
      </c>
      <c r="E29" s="118"/>
      <c r="H29" s="118"/>
      <c r="L29" s="116"/>
      <c r="M29" s="115"/>
      <c r="N29" s="117"/>
      <c r="O29" s="323"/>
    </row>
    <row r="30" spans="1:15" x14ac:dyDescent="0.25">
      <c r="A30" s="1024" t="s">
        <v>584</v>
      </c>
      <c r="B30" s="1025"/>
      <c r="C30" s="881">
        <v>57.285714285714285</v>
      </c>
      <c r="D30" s="866">
        <v>7</v>
      </c>
      <c r="E30" s="118"/>
      <c r="H30" s="118"/>
      <c r="L30" s="116"/>
      <c r="M30" s="115"/>
      <c r="N30" s="117"/>
      <c r="O30" s="323"/>
    </row>
    <row r="31" spans="1:15" ht="31.5" customHeight="1" x14ac:dyDescent="0.25">
      <c r="A31" s="1026" t="s">
        <v>582</v>
      </c>
      <c r="B31" s="1027"/>
      <c r="C31" s="881">
        <v>51.333333333333336</v>
      </c>
      <c r="D31" s="866">
        <v>6</v>
      </c>
      <c r="E31" s="118"/>
      <c r="H31" s="118"/>
      <c r="L31" s="116"/>
      <c r="M31" s="115"/>
      <c r="N31" s="117"/>
      <c r="O31" s="323"/>
    </row>
    <row r="32" spans="1:15" x14ac:dyDescent="0.25">
      <c r="A32" s="1024" t="s">
        <v>589</v>
      </c>
      <c r="B32" s="1025"/>
      <c r="C32" s="881">
        <v>59.6</v>
      </c>
      <c r="D32" s="866">
        <v>5</v>
      </c>
      <c r="E32" s="118"/>
      <c r="H32" s="118"/>
      <c r="L32" s="116"/>
      <c r="M32" s="115"/>
      <c r="N32" s="117"/>
      <c r="O32" s="323"/>
    </row>
    <row r="33" spans="1:15" ht="15.75" thickBot="1" x14ac:dyDescent="0.3">
      <c r="A33" s="1028" t="s">
        <v>586</v>
      </c>
      <c r="B33" s="1029"/>
      <c r="C33" s="882">
        <v>60.75</v>
      </c>
      <c r="D33" s="867">
        <v>4</v>
      </c>
      <c r="E33" s="118"/>
      <c r="H33" s="118"/>
      <c r="L33" s="116"/>
      <c r="M33" s="115"/>
      <c r="N33" s="117"/>
      <c r="O33" s="323"/>
    </row>
    <row r="34" spans="1:15" ht="15.75" thickBot="1" x14ac:dyDescent="0.3">
      <c r="A34" s="1017" t="s">
        <v>383</v>
      </c>
      <c r="B34" s="1018"/>
      <c r="C34" s="883">
        <v>55.561224489795919</v>
      </c>
      <c r="D34" s="868">
        <v>98</v>
      </c>
      <c r="E34" s="118"/>
      <c r="H34" s="118"/>
      <c r="I34" s="118"/>
      <c r="L34" s="116"/>
      <c r="M34" s="115"/>
      <c r="N34" s="117"/>
      <c r="O34" s="323"/>
    </row>
    <row r="35" spans="1:15" x14ac:dyDescent="0.25">
      <c r="A35" s="14"/>
      <c r="C35" s="115"/>
      <c r="D35" s="816" t="s">
        <v>530</v>
      </c>
      <c r="E35" s="118"/>
      <c r="H35" s="118"/>
      <c r="I35" s="118"/>
      <c r="L35" s="116"/>
      <c r="M35" s="115"/>
      <c r="N35" s="117"/>
      <c r="O35" s="323"/>
    </row>
    <row r="36" spans="1:15" x14ac:dyDescent="0.25">
      <c r="A36" s="14"/>
      <c r="C36" s="115"/>
      <c r="E36" s="118"/>
      <c r="H36" s="118"/>
      <c r="I36" s="118"/>
      <c r="L36" s="116"/>
      <c r="M36" s="115"/>
      <c r="N36" s="117"/>
      <c r="O36" s="323"/>
    </row>
    <row r="37" spans="1:15" x14ac:dyDescent="0.25">
      <c r="A37" s="14"/>
      <c r="C37" s="115"/>
      <c r="E37" s="118"/>
      <c r="H37" s="118"/>
      <c r="I37" s="118"/>
      <c r="L37" s="116"/>
      <c r="M37" s="115"/>
      <c r="N37" s="117"/>
      <c r="O37" s="323"/>
    </row>
    <row r="38" spans="1:15" x14ac:dyDescent="0.25">
      <c r="C38" s="115"/>
      <c r="E38" s="118"/>
      <c r="H38" s="118"/>
      <c r="I38" s="118"/>
      <c r="L38" s="116"/>
      <c r="M38" s="115"/>
      <c r="N38" s="117"/>
      <c r="O38" s="323"/>
    </row>
    <row r="39" spans="1:15" x14ac:dyDescent="0.25">
      <c r="A39" s="14"/>
      <c r="C39" s="115"/>
      <c r="E39" s="118"/>
      <c r="H39" s="118"/>
      <c r="I39" s="118"/>
      <c r="L39" s="116"/>
      <c r="M39" s="115"/>
      <c r="N39" s="117"/>
      <c r="O39" s="323"/>
    </row>
    <row r="40" spans="1:15" x14ac:dyDescent="0.25">
      <c r="A40" s="14"/>
      <c r="C40" s="115"/>
      <c r="E40" s="118"/>
      <c r="H40" s="118"/>
      <c r="I40" s="118"/>
      <c r="L40" s="116"/>
      <c r="M40" s="115"/>
      <c r="N40" s="117"/>
      <c r="O40" s="323"/>
    </row>
    <row r="41" spans="1:15" x14ac:dyDescent="0.25">
      <c r="A41" s="14"/>
      <c r="C41" s="115"/>
      <c r="E41" s="118"/>
      <c r="H41" s="118"/>
      <c r="I41" s="118"/>
      <c r="L41" s="116"/>
      <c r="M41" s="115"/>
      <c r="N41" s="117"/>
      <c r="O41" s="323"/>
    </row>
    <row r="42" spans="1:15" x14ac:dyDescent="0.25">
      <c r="C42" s="115"/>
      <c r="E42" s="118"/>
      <c r="H42" s="118"/>
      <c r="I42" s="118"/>
      <c r="L42" s="116"/>
      <c r="M42" s="115"/>
      <c r="N42" s="117"/>
      <c r="O42" s="323"/>
    </row>
    <row r="43" spans="1:15" x14ac:dyDescent="0.25">
      <c r="C43" s="115"/>
      <c r="E43" s="118"/>
      <c r="H43" s="118"/>
      <c r="I43" s="118"/>
      <c r="L43" s="116"/>
      <c r="M43" s="115"/>
      <c r="N43" s="117"/>
      <c r="O43" s="323"/>
    </row>
    <row r="44" spans="1:15" x14ac:dyDescent="0.25">
      <c r="A44" s="14"/>
      <c r="C44" s="115"/>
      <c r="E44" s="118"/>
      <c r="H44" s="118"/>
      <c r="I44" s="118"/>
      <c r="L44" s="116"/>
      <c r="M44" s="115"/>
      <c r="N44" s="117"/>
      <c r="O44" s="323"/>
    </row>
    <row r="45" spans="1:15" x14ac:dyDescent="0.25">
      <c r="C45" s="115"/>
      <c r="E45" s="118"/>
      <c r="H45" s="118"/>
      <c r="I45" s="118"/>
      <c r="L45" s="116"/>
      <c r="M45" s="115"/>
      <c r="N45" s="117"/>
      <c r="O45" s="323"/>
    </row>
    <row r="46" spans="1:15" x14ac:dyDescent="0.25">
      <c r="A46" s="117"/>
      <c r="C46" s="115"/>
      <c r="E46" s="118"/>
      <c r="H46" s="118"/>
      <c r="I46" s="118"/>
      <c r="L46" s="116"/>
      <c r="M46" s="115"/>
      <c r="N46" s="117"/>
      <c r="O46" s="323"/>
    </row>
    <row r="47" spans="1:15" x14ac:dyDescent="0.25">
      <c r="C47" s="120"/>
      <c r="L47" s="116"/>
      <c r="M47" s="120"/>
      <c r="O47" s="323"/>
    </row>
    <row r="48" spans="1:15" x14ac:dyDescent="0.25">
      <c r="C48" s="120"/>
      <c r="L48" s="116"/>
      <c r="M48" s="120"/>
      <c r="O48" s="323"/>
    </row>
    <row r="49" spans="3:15" x14ac:dyDescent="0.25">
      <c r="C49" s="120"/>
      <c r="L49" s="116"/>
      <c r="M49" s="120"/>
      <c r="O49" s="323"/>
    </row>
    <row r="50" spans="3:15" x14ac:dyDescent="0.25">
      <c r="C50" s="120"/>
      <c r="L50" s="116"/>
      <c r="M50" s="120"/>
      <c r="O50" s="323"/>
    </row>
    <row r="51" spans="3:15" x14ac:dyDescent="0.25">
      <c r="C51" s="120"/>
      <c r="L51" s="116"/>
      <c r="M51" s="120"/>
      <c r="O51" s="323"/>
    </row>
    <row r="52" spans="3:15" x14ac:dyDescent="0.25">
      <c r="C52" s="120"/>
      <c r="L52" s="116"/>
      <c r="M52" s="120"/>
      <c r="O52" s="323"/>
    </row>
    <row r="53" spans="3:15" x14ac:dyDescent="0.25">
      <c r="C53" s="120"/>
      <c r="L53" s="116"/>
      <c r="M53" s="120"/>
      <c r="O53" s="323"/>
    </row>
    <row r="54" spans="3:15" x14ac:dyDescent="0.25">
      <c r="C54" s="120"/>
      <c r="L54" s="116"/>
      <c r="M54" s="120"/>
      <c r="O54" s="323"/>
    </row>
    <row r="55" spans="3:15" x14ac:dyDescent="0.25">
      <c r="C55" s="120"/>
      <c r="L55" s="116"/>
      <c r="M55" s="120"/>
      <c r="O55" s="323"/>
    </row>
    <row r="56" spans="3:15" x14ac:dyDescent="0.25">
      <c r="C56" s="120"/>
      <c r="L56" s="116"/>
      <c r="M56" s="120"/>
      <c r="O56" s="323"/>
    </row>
    <row r="57" spans="3:15" x14ac:dyDescent="0.25">
      <c r="C57" s="120"/>
      <c r="L57" s="116"/>
      <c r="M57" s="120"/>
      <c r="O57" s="323"/>
    </row>
    <row r="58" spans="3:15" x14ac:dyDescent="0.25">
      <c r="C58" s="120"/>
      <c r="L58" s="116"/>
      <c r="M58" s="120"/>
      <c r="O58" s="323"/>
    </row>
    <row r="59" spans="3:15" x14ac:dyDescent="0.25">
      <c r="C59" s="120"/>
      <c r="L59" s="116"/>
      <c r="M59" s="120"/>
      <c r="O59" s="323"/>
    </row>
    <row r="60" spans="3:15" x14ac:dyDescent="0.25">
      <c r="C60" s="120"/>
      <c r="L60" s="116"/>
      <c r="M60" s="120"/>
      <c r="O60" s="323"/>
    </row>
    <row r="61" spans="3:15" x14ac:dyDescent="0.25">
      <c r="C61" s="120"/>
      <c r="L61" s="116"/>
      <c r="M61" s="120"/>
      <c r="O61" s="323"/>
    </row>
    <row r="62" spans="3:15" x14ac:dyDescent="0.25">
      <c r="C62" s="120"/>
      <c r="L62" s="116"/>
      <c r="M62" s="120"/>
      <c r="O62" s="323"/>
    </row>
    <row r="63" spans="3:15" x14ac:dyDescent="0.25">
      <c r="C63" s="120"/>
      <c r="L63" s="116"/>
      <c r="M63" s="120"/>
      <c r="O63" s="323"/>
    </row>
    <row r="64" spans="3:15" x14ac:dyDescent="0.25">
      <c r="C64" s="120"/>
      <c r="L64" s="116"/>
      <c r="M64" s="120"/>
      <c r="O64" s="323"/>
    </row>
    <row r="65" spans="3:15" x14ac:dyDescent="0.25">
      <c r="C65" s="120"/>
      <c r="L65" s="116"/>
      <c r="M65" s="120"/>
      <c r="O65" s="323"/>
    </row>
    <row r="66" spans="3:15" x14ac:dyDescent="0.25">
      <c r="C66" s="120"/>
      <c r="L66" s="116"/>
      <c r="M66" s="120"/>
      <c r="O66" s="323"/>
    </row>
    <row r="67" spans="3:15" x14ac:dyDescent="0.25">
      <c r="C67" s="120"/>
      <c r="L67" s="116"/>
      <c r="M67" s="120"/>
      <c r="O67" s="323"/>
    </row>
    <row r="68" spans="3:15" x14ac:dyDescent="0.25">
      <c r="C68" s="120"/>
      <c r="L68" s="116"/>
      <c r="M68" s="120"/>
      <c r="O68" s="323"/>
    </row>
    <row r="69" spans="3:15" x14ac:dyDescent="0.25">
      <c r="C69" s="120"/>
      <c r="L69" s="116"/>
      <c r="M69" s="120"/>
      <c r="O69" s="323"/>
    </row>
    <row r="70" spans="3:15" x14ac:dyDescent="0.25">
      <c r="C70" s="120"/>
      <c r="L70" s="116"/>
      <c r="M70" s="120"/>
      <c r="O70" s="323"/>
    </row>
    <row r="71" spans="3:15" x14ac:dyDescent="0.25">
      <c r="C71" s="120"/>
      <c r="L71" s="116"/>
      <c r="M71" s="120"/>
    </row>
    <row r="72" spans="3:15" x14ac:dyDescent="0.25">
      <c r="C72" s="120"/>
      <c r="L72" s="116"/>
      <c r="M72" s="120"/>
    </row>
    <row r="73" spans="3:15" x14ac:dyDescent="0.25">
      <c r="C73" s="120"/>
      <c r="L73" s="116"/>
      <c r="M73" s="120"/>
    </row>
    <row r="74" spans="3:15" x14ac:dyDescent="0.25">
      <c r="C74" s="120"/>
      <c r="L74" s="116"/>
      <c r="M74" s="120"/>
    </row>
    <row r="75" spans="3:15" x14ac:dyDescent="0.25">
      <c r="C75" s="120"/>
      <c r="L75" s="116"/>
      <c r="M75" s="120"/>
    </row>
    <row r="76" spans="3:15" x14ac:dyDescent="0.25">
      <c r="C76" s="120"/>
      <c r="L76" s="116"/>
      <c r="M76" s="120"/>
    </row>
    <row r="77" spans="3:15" x14ac:dyDescent="0.25">
      <c r="C77" s="120"/>
      <c r="L77" s="116"/>
      <c r="M77" s="120"/>
    </row>
    <row r="78" spans="3:15" x14ac:dyDescent="0.25">
      <c r="C78" s="120"/>
      <c r="L78" s="116"/>
      <c r="M78" s="120"/>
    </row>
    <row r="79" spans="3:15" x14ac:dyDescent="0.25">
      <c r="C79" s="120"/>
      <c r="L79" s="116"/>
      <c r="M79" s="120"/>
    </row>
    <row r="80" spans="3:15" x14ac:dyDescent="0.25">
      <c r="C80" s="120"/>
      <c r="L80" s="116"/>
      <c r="M80" s="120"/>
    </row>
    <row r="81" spans="3:13" x14ac:dyDescent="0.25">
      <c r="C81" s="120"/>
      <c r="L81" s="116"/>
      <c r="M81" s="120"/>
    </row>
    <row r="82" spans="3:13" x14ac:dyDescent="0.25">
      <c r="C82" s="120"/>
      <c r="L82" s="116"/>
      <c r="M82" s="120"/>
    </row>
    <row r="83" spans="3:13" x14ac:dyDescent="0.25">
      <c r="C83" s="120"/>
      <c r="L83" s="116"/>
      <c r="M83" s="120"/>
    </row>
    <row r="84" spans="3:13" x14ac:dyDescent="0.25">
      <c r="C84" s="120"/>
      <c r="L84" s="116"/>
      <c r="M84" s="120"/>
    </row>
    <row r="85" spans="3:13" x14ac:dyDescent="0.25">
      <c r="C85" s="120"/>
      <c r="L85" s="116"/>
      <c r="M85" s="120"/>
    </row>
    <row r="86" spans="3:13" x14ac:dyDescent="0.25">
      <c r="C86" s="120"/>
      <c r="L86" s="116"/>
      <c r="M86" s="120"/>
    </row>
    <row r="87" spans="3:13" x14ac:dyDescent="0.25">
      <c r="C87" s="120"/>
      <c r="L87" s="116"/>
      <c r="M87" s="120"/>
    </row>
    <row r="88" spans="3:13" x14ac:dyDescent="0.25">
      <c r="C88" s="120"/>
      <c r="L88" s="116"/>
      <c r="M88" s="120"/>
    </row>
    <row r="89" spans="3:13" x14ac:dyDescent="0.25">
      <c r="C89" s="120"/>
      <c r="L89" s="116"/>
      <c r="M89" s="120"/>
    </row>
    <row r="90" spans="3:13" x14ac:dyDescent="0.25">
      <c r="C90" s="120"/>
      <c r="L90" s="116"/>
      <c r="M90" s="120"/>
    </row>
    <row r="91" spans="3:13" x14ac:dyDescent="0.25">
      <c r="C91" s="120"/>
      <c r="L91" s="116"/>
      <c r="M91" s="120"/>
    </row>
    <row r="92" spans="3:13" x14ac:dyDescent="0.25">
      <c r="C92" s="120"/>
      <c r="L92" s="116"/>
      <c r="M92" s="120"/>
    </row>
    <row r="93" spans="3:13" x14ac:dyDescent="0.25">
      <c r="C93" s="120"/>
      <c r="L93" s="116"/>
      <c r="M93" s="120"/>
    </row>
    <row r="94" spans="3:13" x14ac:dyDescent="0.25">
      <c r="C94" s="120"/>
      <c r="L94" s="116"/>
      <c r="M94" s="120"/>
    </row>
    <row r="95" spans="3:13" x14ac:dyDescent="0.25">
      <c r="C95" s="120"/>
      <c r="L95" s="116"/>
      <c r="M95" s="120"/>
    </row>
    <row r="96" spans="3:13" x14ac:dyDescent="0.25">
      <c r="C96" s="120"/>
      <c r="L96" s="116"/>
      <c r="M96" s="120"/>
    </row>
    <row r="97" spans="3:13" x14ac:dyDescent="0.25">
      <c r="C97" s="120"/>
      <c r="L97" s="116"/>
      <c r="M97" s="120"/>
    </row>
    <row r="98" spans="3:13" x14ac:dyDescent="0.25">
      <c r="C98" s="120"/>
      <c r="L98" s="116"/>
      <c r="M98" s="120"/>
    </row>
    <row r="99" spans="3:13" x14ac:dyDescent="0.25">
      <c r="C99" s="120"/>
      <c r="L99" s="116"/>
      <c r="M99" s="120"/>
    </row>
    <row r="100" spans="3:13" x14ac:dyDescent="0.25">
      <c r="C100" s="120"/>
      <c r="L100" s="116"/>
      <c r="M100" s="120"/>
    </row>
    <row r="101" spans="3:13" x14ac:dyDescent="0.25">
      <c r="C101" s="120"/>
      <c r="L101" s="116"/>
      <c r="M101" s="120"/>
    </row>
    <row r="102" spans="3:13" x14ac:dyDescent="0.25">
      <c r="C102" s="120"/>
      <c r="L102" s="116"/>
      <c r="M102" s="120"/>
    </row>
  </sheetData>
  <mergeCells count="12">
    <mergeCell ref="A34:B34"/>
    <mergeCell ref="A1:D1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J1"/>
    </sheetView>
  </sheetViews>
  <sheetFormatPr defaultRowHeight="15.75" x14ac:dyDescent="0.25"/>
  <cols>
    <col min="1" max="1" width="18.7109375" style="84" customWidth="1"/>
    <col min="2" max="2" width="11.7109375" style="84" customWidth="1"/>
    <col min="3" max="3" width="9.85546875" style="84" customWidth="1"/>
    <col min="4" max="4" width="14.42578125" style="84" customWidth="1"/>
    <col min="5" max="5" width="15.140625" style="84" customWidth="1"/>
    <col min="6" max="6" width="15.7109375" style="84" customWidth="1"/>
    <col min="7" max="7" width="13.140625" style="84" customWidth="1"/>
    <col min="8" max="8" width="14.28515625" style="84" customWidth="1"/>
    <col min="9" max="9" width="13.42578125" style="84" customWidth="1"/>
    <col min="10" max="10" width="12.28515625" style="84" customWidth="1"/>
    <col min="11" max="16384" width="9.140625" style="84"/>
  </cols>
  <sheetData>
    <row r="1" spans="1:12" s="81" customFormat="1" ht="44.25" customHeight="1" thickBot="1" x14ac:dyDescent="0.3">
      <c r="A1" s="1030" t="s">
        <v>608</v>
      </c>
      <c r="B1" s="1030"/>
      <c r="C1" s="1030"/>
      <c r="D1" s="1030"/>
      <c r="E1" s="1030"/>
      <c r="F1" s="1030"/>
      <c r="G1" s="1030"/>
      <c r="H1" s="1030"/>
      <c r="I1" s="1030"/>
      <c r="J1" s="1030"/>
    </row>
    <row r="2" spans="1:12" s="82" customFormat="1" ht="120" customHeight="1" thickBot="1" x14ac:dyDescent="0.3">
      <c r="A2" s="333" t="s">
        <v>56</v>
      </c>
      <c r="B2" s="337" t="s">
        <v>252</v>
      </c>
      <c r="C2" s="335" t="s">
        <v>253</v>
      </c>
      <c r="D2" s="335" t="s">
        <v>254</v>
      </c>
      <c r="E2" s="335" t="s">
        <v>255</v>
      </c>
      <c r="F2" s="335" t="s">
        <v>256</v>
      </c>
      <c r="G2" s="335" t="s">
        <v>257</v>
      </c>
      <c r="H2" s="335" t="s">
        <v>258</v>
      </c>
      <c r="I2" s="335" t="s">
        <v>259</v>
      </c>
      <c r="J2" s="336" t="s">
        <v>260</v>
      </c>
    </row>
    <row r="3" spans="1:12" x14ac:dyDescent="0.25">
      <c r="A3" s="487" t="s">
        <v>29</v>
      </c>
      <c r="B3" s="484">
        <v>165</v>
      </c>
      <c r="C3" s="459">
        <v>106</v>
      </c>
      <c r="D3" s="459">
        <v>257</v>
      </c>
      <c r="E3" s="459">
        <f>C3+D3</f>
        <v>363</v>
      </c>
      <c r="F3" s="460">
        <f>E3/$E$23</f>
        <v>0.22365988909426987</v>
      </c>
      <c r="G3" s="461">
        <v>1623310</v>
      </c>
      <c r="H3" s="459">
        <v>555626</v>
      </c>
      <c r="I3" s="462">
        <f>G3+H3</f>
        <v>2178936</v>
      </c>
      <c r="J3" s="463">
        <f>I3/$I$23</f>
        <v>0.21172320250320728</v>
      </c>
      <c r="K3" s="83"/>
      <c r="L3" s="83"/>
    </row>
    <row r="4" spans="1:12" x14ac:dyDescent="0.25">
      <c r="A4" s="488" t="s">
        <v>39</v>
      </c>
      <c r="B4" s="485">
        <v>74</v>
      </c>
      <c r="C4" s="327">
        <v>42</v>
      </c>
      <c r="D4" s="327">
        <v>74</v>
      </c>
      <c r="E4" s="327">
        <f t="shared" ref="E4:E22" si="0">C4+D4</f>
        <v>116</v>
      </c>
      <c r="F4" s="328">
        <f t="shared" ref="F4:F22" si="1">E4/$E$23</f>
        <v>7.1472581638940227E-2</v>
      </c>
      <c r="G4" s="329">
        <v>524599</v>
      </c>
      <c r="H4" s="327">
        <v>270851</v>
      </c>
      <c r="I4" s="330">
        <f t="shared" ref="I4:I22" si="2">G4+H4</f>
        <v>795450</v>
      </c>
      <c r="J4" s="458">
        <f t="shared" ref="J4:J22" si="3">I4/$I$23</f>
        <v>7.7292413100327972E-2</v>
      </c>
      <c r="K4" s="83"/>
      <c r="L4" s="83"/>
    </row>
    <row r="5" spans="1:12" x14ac:dyDescent="0.25">
      <c r="A5" s="488" t="s">
        <v>37</v>
      </c>
      <c r="B5" s="485">
        <v>53</v>
      </c>
      <c r="C5" s="327">
        <v>22</v>
      </c>
      <c r="D5" s="327">
        <v>44</v>
      </c>
      <c r="E5" s="327">
        <f t="shared" si="0"/>
        <v>66</v>
      </c>
      <c r="F5" s="328">
        <f t="shared" si="1"/>
        <v>4.0665434380776341E-2</v>
      </c>
      <c r="G5" s="329">
        <v>153552</v>
      </c>
      <c r="H5" s="327">
        <v>29867</v>
      </c>
      <c r="I5" s="330">
        <f t="shared" si="2"/>
        <v>183419</v>
      </c>
      <c r="J5" s="458">
        <f t="shared" si="3"/>
        <v>1.7822486791689053E-2</v>
      </c>
      <c r="K5" s="83"/>
      <c r="L5" s="83"/>
    </row>
    <row r="6" spans="1:12" x14ac:dyDescent="0.25">
      <c r="A6" s="488" t="s">
        <v>42</v>
      </c>
      <c r="B6" s="485">
        <v>13</v>
      </c>
      <c r="C6" s="327">
        <v>2</v>
      </c>
      <c r="D6" s="327">
        <v>11</v>
      </c>
      <c r="E6" s="327">
        <f t="shared" si="0"/>
        <v>13</v>
      </c>
      <c r="F6" s="328">
        <f t="shared" si="1"/>
        <v>8.0098582871226121E-3</v>
      </c>
      <c r="G6" s="329">
        <v>32579</v>
      </c>
      <c r="H6" s="327">
        <v>8284</v>
      </c>
      <c r="I6" s="330">
        <f t="shared" si="2"/>
        <v>40863</v>
      </c>
      <c r="J6" s="458">
        <f t="shared" si="3"/>
        <v>3.9705825338094188E-3</v>
      </c>
      <c r="K6" s="83"/>
      <c r="L6" s="83"/>
    </row>
    <row r="7" spans="1:12" x14ac:dyDescent="0.25">
      <c r="A7" s="488" t="s">
        <v>181</v>
      </c>
      <c r="B7" s="485">
        <v>18</v>
      </c>
      <c r="C7" s="327">
        <v>13</v>
      </c>
      <c r="D7" s="327">
        <v>41</v>
      </c>
      <c r="E7" s="327">
        <f t="shared" si="0"/>
        <v>54</v>
      </c>
      <c r="F7" s="328">
        <f t="shared" si="1"/>
        <v>3.3271719038817003E-2</v>
      </c>
      <c r="G7" s="329">
        <v>348930</v>
      </c>
      <c r="H7" s="327">
        <v>136864</v>
      </c>
      <c r="I7" s="330">
        <f t="shared" si="2"/>
        <v>485794</v>
      </c>
      <c r="J7" s="458">
        <f t="shared" si="3"/>
        <v>4.7203709258483537E-2</v>
      </c>
      <c r="K7" s="83"/>
      <c r="L7" s="83"/>
    </row>
    <row r="8" spans="1:12" x14ac:dyDescent="0.25">
      <c r="A8" s="488" t="s">
        <v>35</v>
      </c>
      <c r="B8" s="485">
        <v>32</v>
      </c>
      <c r="C8" s="327">
        <v>13</v>
      </c>
      <c r="D8" s="327">
        <v>37</v>
      </c>
      <c r="E8" s="327">
        <f t="shared" si="0"/>
        <v>50</v>
      </c>
      <c r="F8" s="328">
        <f t="shared" si="1"/>
        <v>3.0807147258163893E-2</v>
      </c>
      <c r="G8" s="329">
        <v>157939</v>
      </c>
      <c r="H8" s="327">
        <v>26253</v>
      </c>
      <c r="I8" s="330">
        <f t="shared" si="2"/>
        <v>184192</v>
      </c>
      <c r="J8" s="458">
        <f t="shared" si="3"/>
        <v>1.7897597779590935E-2</v>
      </c>
      <c r="K8" s="83"/>
      <c r="L8" s="83"/>
    </row>
    <row r="9" spans="1:12" ht="18" customHeight="1" x14ac:dyDescent="0.25">
      <c r="A9" s="488" t="s">
        <v>261</v>
      </c>
      <c r="B9" s="485">
        <v>40</v>
      </c>
      <c r="C9" s="327">
        <v>23</v>
      </c>
      <c r="D9" s="327">
        <v>62</v>
      </c>
      <c r="E9" s="327">
        <f t="shared" si="0"/>
        <v>85</v>
      </c>
      <c r="F9" s="328">
        <f t="shared" si="1"/>
        <v>5.2372150338878619E-2</v>
      </c>
      <c r="G9" s="329">
        <v>176038</v>
      </c>
      <c r="H9" s="327">
        <v>29869</v>
      </c>
      <c r="I9" s="330">
        <f t="shared" si="2"/>
        <v>205907</v>
      </c>
      <c r="J9" s="458">
        <f t="shared" si="3"/>
        <v>2.0007604380224062E-2</v>
      </c>
      <c r="K9" s="83"/>
      <c r="L9" s="83"/>
    </row>
    <row r="10" spans="1:12" x14ac:dyDescent="0.25">
      <c r="A10" s="488" t="s">
        <v>40</v>
      </c>
      <c r="B10" s="485">
        <v>27</v>
      </c>
      <c r="C10" s="327">
        <v>19</v>
      </c>
      <c r="D10" s="327">
        <v>32</v>
      </c>
      <c r="E10" s="327">
        <f t="shared" si="0"/>
        <v>51</v>
      </c>
      <c r="F10" s="328">
        <f t="shared" si="1"/>
        <v>3.1423290203327174E-2</v>
      </c>
      <c r="G10" s="329">
        <v>174372</v>
      </c>
      <c r="H10" s="327">
        <v>22517</v>
      </c>
      <c r="I10" s="330">
        <f t="shared" si="2"/>
        <v>196889</v>
      </c>
      <c r="J10" s="458">
        <f t="shared" si="3"/>
        <v>1.9131341910755516E-2</v>
      </c>
      <c r="K10" s="83"/>
      <c r="L10" s="83"/>
    </row>
    <row r="11" spans="1:12" x14ac:dyDescent="0.25">
      <c r="A11" s="488" t="s">
        <v>30</v>
      </c>
      <c r="B11" s="485">
        <v>109</v>
      </c>
      <c r="C11" s="327">
        <v>77</v>
      </c>
      <c r="D11" s="327">
        <v>183</v>
      </c>
      <c r="E11" s="327">
        <f t="shared" si="0"/>
        <v>260</v>
      </c>
      <c r="F11" s="328">
        <f t="shared" si="1"/>
        <v>0.16019716574245224</v>
      </c>
      <c r="G11" s="329">
        <v>1645569</v>
      </c>
      <c r="H11" s="327">
        <v>767944</v>
      </c>
      <c r="I11" s="330">
        <f t="shared" si="2"/>
        <v>2413513</v>
      </c>
      <c r="J11" s="458">
        <f t="shared" si="3"/>
        <v>0.23451661803886084</v>
      </c>
      <c r="K11" s="83"/>
      <c r="L11" s="83"/>
    </row>
    <row r="12" spans="1:12" x14ac:dyDescent="0.25">
      <c r="A12" s="488" t="s">
        <v>31</v>
      </c>
      <c r="B12" s="485">
        <v>96</v>
      </c>
      <c r="C12" s="327">
        <v>47</v>
      </c>
      <c r="D12" s="327">
        <v>104</v>
      </c>
      <c r="E12" s="327">
        <f t="shared" si="0"/>
        <v>151</v>
      </c>
      <c r="F12" s="328">
        <f t="shared" si="1"/>
        <v>9.3037584719654953E-2</v>
      </c>
      <c r="G12" s="329">
        <v>648637</v>
      </c>
      <c r="H12" s="327">
        <v>361093</v>
      </c>
      <c r="I12" s="330">
        <f t="shared" si="2"/>
        <v>1009730</v>
      </c>
      <c r="J12" s="458">
        <f t="shared" si="3"/>
        <v>9.8113606486635446E-2</v>
      </c>
      <c r="K12" s="83"/>
      <c r="L12" s="83"/>
    </row>
    <row r="13" spans="1:12" x14ac:dyDescent="0.25">
      <c r="A13" s="488" t="s">
        <v>58</v>
      </c>
      <c r="B13" s="485">
        <v>82</v>
      </c>
      <c r="C13" s="327">
        <v>49</v>
      </c>
      <c r="D13" s="327">
        <v>80</v>
      </c>
      <c r="E13" s="327">
        <f t="shared" si="0"/>
        <v>129</v>
      </c>
      <c r="F13" s="328">
        <f t="shared" si="1"/>
        <v>7.9482439926062853E-2</v>
      </c>
      <c r="G13" s="329">
        <v>579266</v>
      </c>
      <c r="H13" s="327">
        <v>278584</v>
      </c>
      <c r="I13" s="330">
        <f t="shared" si="2"/>
        <v>857850</v>
      </c>
      <c r="J13" s="458">
        <f t="shared" si="3"/>
        <v>8.335570630223943E-2</v>
      </c>
      <c r="K13" s="83"/>
      <c r="L13" s="83"/>
    </row>
    <row r="14" spans="1:12" x14ac:dyDescent="0.25">
      <c r="A14" s="488" t="s">
        <v>593</v>
      </c>
      <c r="B14" s="485">
        <v>10</v>
      </c>
      <c r="C14" s="327">
        <v>2</v>
      </c>
      <c r="D14" s="327">
        <v>12</v>
      </c>
      <c r="E14" s="327">
        <f t="shared" si="0"/>
        <v>14</v>
      </c>
      <c r="F14" s="328">
        <f t="shared" si="1"/>
        <v>8.6260012322858896E-3</v>
      </c>
      <c r="G14" s="329">
        <v>47532</v>
      </c>
      <c r="H14" s="327">
        <v>24371</v>
      </c>
      <c r="I14" s="330">
        <f t="shared" si="2"/>
        <v>71903</v>
      </c>
      <c r="J14" s="458">
        <f t="shared" si="3"/>
        <v>6.9866822291192185E-3</v>
      </c>
      <c r="K14" s="83"/>
      <c r="L14" s="83"/>
    </row>
    <row r="15" spans="1:12" x14ac:dyDescent="0.25">
      <c r="A15" s="488" t="s">
        <v>33</v>
      </c>
      <c r="B15" s="485">
        <v>49</v>
      </c>
      <c r="C15" s="327">
        <v>33</v>
      </c>
      <c r="D15" s="327">
        <v>50</v>
      </c>
      <c r="E15" s="327">
        <f t="shared" si="0"/>
        <v>83</v>
      </c>
      <c r="F15" s="328">
        <f t="shared" si="1"/>
        <v>5.1139864448552064E-2</v>
      </c>
      <c r="G15" s="329">
        <v>182005</v>
      </c>
      <c r="H15" s="327">
        <v>59369</v>
      </c>
      <c r="I15" s="330">
        <f t="shared" si="2"/>
        <v>241374</v>
      </c>
      <c r="J15" s="458">
        <f t="shared" si="3"/>
        <v>2.3453867521124602E-2</v>
      </c>
      <c r="K15" s="83"/>
      <c r="L15" s="83"/>
    </row>
    <row r="16" spans="1:12" x14ac:dyDescent="0.25">
      <c r="A16" s="488" t="s">
        <v>38</v>
      </c>
      <c r="B16" s="485">
        <v>53</v>
      </c>
      <c r="C16" s="327">
        <v>29</v>
      </c>
      <c r="D16" s="327">
        <v>72</v>
      </c>
      <c r="E16" s="327">
        <f t="shared" si="0"/>
        <v>101</v>
      </c>
      <c r="F16" s="328">
        <f t="shared" si="1"/>
        <v>6.2230437461491067E-2</v>
      </c>
      <c r="G16" s="329">
        <v>546817</v>
      </c>
      <c r="H16" s="327">
        <v>283659</v>
      </c>
      <c r="I16" s="330">
        <f t="shared" si="2"/>
        <v>830476</v>
      </c>
      <c r="J16" s="458">
        <f t="shared" si="3"/>
        <v>8.0695825082541917E-2</v>
      </c>
      <c r="K16" s="83"/>
      <c r="L16" s="83"/>
    </row>
    <row r="17" spans="1:12" x14ac:dyDescent="0.25">
      <c r="A17" s="488" t="s">
        <v>44</v>
      </c>
      <c r="B17" s="485">
        <v>28</v>
      </c>
      <c r="C17" s="327">
        <v>17</v>
      </c>
      <c r="D17" s="327">
        <v>52</v>
      </c>
      <c r="E17" s="327">
        <f t="shared" si="0"/>
        <v>69</v>
      </c>
      <c r="F17" s="328">
        <f t="shared" si="1"/>
        <v>4.2513863216266171E-2</v>
      </c>
      <c r="G17" s="329">
        <v>377861</v>
      </c>
      <c r="H17" s="327">
        <v>160085</v>
      </c>
      <c r="I17" s="330">
        <f t="shared" si="2"/>
        <v>537946</v>
      </c>
      <c r="J17" s="458">
        <f t="shared" si="3"/>
        <v>5.2271223153773375E-2</v>
      </c>
      <c r="K17" s="83"/>
      <c r="L17" s="83"/>
    </row>
    <row r="18" spans="1:12" x14ac:dyDescent="0.25">
      <c r="A18" s="488" t="s">
        <v>49</v>
      </c>
      <c r="B18" s="485">
        <v>2</v>
      </c>
      <c r="C18" s="327">
        <v>1</v>
      </c>
      <c r="D18" s="327">
        <v>2</v>
      </c>
      <c r="E18" s="327">
        <f t="shared" si="0"/>
        <v>3</v>
      </c>
      <c r="F18" s="328">
        <f t="shared" si="1"/>
        <v>1.8484288354898336E-3</v>
      </c>
      <c r="G18" s="329">
        <v>9393</v>
      </c>
      <c r="H18" s="327">
        <v>861</v>
      </c>
      <c r="I18" s="330">
        <f t="shared" si="2"/>
        <v>10254</v>
      </c>
      <c r="J18" s="458">
        <f t="shared" si="3"/>
        <v>9.9636231558333397E-4</v>
      </c>
      <c r="K18" s="83"/>
      <c r="L18" s="83"/>
    </row>
    <row r="19" spans="1:12" x14ac:dyDescent="0.25">
      <c r="A19" s="488" t="s">
        <v>52</v>
      </c>
      <c r="B19" s="485">
        <v>0</v>
      </c>
      <c r="C19" s="327">
        <v>0</v>
      </c>
      <c r="D19" s="327">
        <v>0</v>
      </c>
      <c r="E19" s="327">
        <f t="shared" si="0"/>
        <v>0</v>
      </c>
      <c r="F19" s="328">
        <f t="shared" si="1"/>
        <v>0</v>
      </c>
      <c r="G19" s="329">
        <v>0</v>
      </c>
      <c r="H19" s="327">
        <v>0</v>
      </c>
      <c r="I19" s="330">
        <f t="shared" si="2"/>
        <v>0</v>
      </c>
      <c r="J19" s="458">
        <f t="shared" si="3"/>
        <v>0</v>
      </c>
      <c r="K19" s="83"/>
      <c r="L19" s="83"/>
    </row>
    <row r="20" spans="1:12" x14ac:dyDescent="0.25">
      <c r="A20" s="488" t="s">
        <v>262</v>
      </c>
      <c r="B20" s="485">
        <v>1</v>
      </c>
      <c r="C20" s="327">
        <v>0</v>
      </c>
      <c r="D20" s="327">
        <v>1</v>
      </c>
      <c r="E20" s="327">
        <f t="shared" si="0"/>
        <v>1</v>
      </c>
      <c r="F20" s="328">
        <f t="shared" si="1"/>
        <v>6.1614294516327791E-4</v>
      </c>
      <c r="G20" s="329">
        <v>0</v>
      </c>
      <c r="H20" s="327">
        <v>0</v>
      </c>
      <c r="I20" s="330">
        <f t="shared" si="2"/>
        <v>0</v>
      </c>
      <c r="J20" s="458">
        <f t="shared" si="3"/>
        <v>0</v>
      </c>
      <c r="K20" s="83"/>
      <c r="L20" s="83"/>
    </row>
    <row r="21" spans="1:12" x14ac:dyDescent="0.25">
      <c r="A21" s="488" t="s">
        <v>41</v>
      </c>
      <c r="B21" s="485">
        <v>18</v>
      </c>
      <c r="C21" s="327">
        <v>7</v>
      </c>
      <c r="D21" s="327">
        <v>5</v>
      </c>
      <c r="E21" s="327">
        <f t="shared" si="0"/>
        <v>12</v>
      </c>
      <c r="F21" s="328">
        <f t="shared" si="1"/>
        <v>7.3937153419593345E-3</v>
      </c>
      <c r="G21" s="329">
        <v>31184</v>
      </c>
      <c r="H21" s="327">
        <v>9863</v>
      </c>
      <c r="I21" s="330">
        <f t="shared" si="2"/>
        <v>41047</v>
      </c>
      <c r="J21" s="458">
        <f t="shared" si="3"/>
        <v>3.9884614753022346E-3</v>
      </c>
      <c r="K21" s="83"/>
      <c r="L21" s="83"/>
    </row>
    <row r="22" spans="1:12" ht="16.5" thickBot="1" x14ac:dyDescent="0.3">
      <c r="A22" s="489" t="s">
        <v>48</v>
      </c>
      <c r="B22" s="486">
        <v>16</v>
      </c>
      <c r="C22" s="464">
        <v>1</v>
      </c>
      <c r="D22" s="464">
        <v>1</v>
      </c>
      <c r="E22" s="464">
        <f t="shared" si="0"/>
        <v>2</v>
      </c>
      <c r="F22" s="465">
        <f t="shared" si="1"/>
        <v>1.2322858903265558E-3</v>
      </c>
      <c r="G22" s="466">
        <v>4354</v>
      </c>
      <c r="H22" s="464">
        <v>1540</v>
      </c>
      <c r="I22" s="467">
        <f t="shared" si="2"/>
        <v>5894</v>
      </c>
      <c r="J22" s="468">
        <f t="shared" si="3"/>
        <v>5.7270913673182857E-4</v>
      </c>
      <c r="K22" s="83"/>
      <c r="L22" s="83"/>
    </row>
    <row r="23" spans="1:12" s="86" customFormat="1" ht="16.5" thickBot="1" x14ac:dyDescent="0.3">
      <c r="A23" s="469" t="s">
        <v>21</v>
      </c>
      <c r="B23" s="470">
        <f t="shared" ref="B23:J23" si="4">SUM(B3:B22)</f>
        <v>886</v>
      </c>
      <c r="C23" s="470">
        <f t="shared" si="4"/>
        <v>503</v>
      </c>
      <c r="D23" s="470">
        <f t="shared" si="4"/>
        <v>1120</v>
      </c>
      <c r="E23" s="470">
        <f t="shared" si="4"/>
        <v>1623</v>
      </c>
      <c r="F23" s="471">
        <f t="shared" si="4"/>
        <v>1</v>
      </c>
      <c r="G23" s="472">
        <f t="shared" si="4"/>
        <v>7263937</v>
      </c>
      <c r="H23" s="472">
        <f t="shared" si="4"/>
        <v>3027500</v>
      </c>
      <c r="I23" s="473">
        <f t="shared" si="4"/>
        <v>10291437</v>
      </c>
      <c r="J23" s="474">
        <f t="shared" si="4"/>
        <v>1</v>
      </c>
      <c r="K23" s="85"/>
      <c r="L23" s="85"/>
    </row>
    <row r="24" spans="1:12" x14ac:dyDescent="0.25">
      <c r="J24" s="87" t="s">
        <v>530</v>
      </c>
    </row>
    <row r="25" spans="1:12" x14ac:dyDescent="0.25">
      <c r="A25" s="1031" t="s">
        <v>531</v>
      </c>
      <c r="B25" s="1031"/>
      <c r="C25" s="1031"/>
      <c r="D25" s="1031"/>
    </row>
  </sheetData>
  <mergeCells count="2">
    <mergeCell ref="A1:J1"/>
    <mergeCell ref="A25:D2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  <headerFoot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sqref="A1:G1"/>
    </sheetView>
  </sheetViews>
  <sheetFormatPr defaultRowHeight="15.75" x14ac:dyDescent="0.25"/>
  <cols>
    <col min="1" max="1" width="53.140625" style="88" customWidth="1"/>
    <col min="2" max="2" width="14.42578125" style="88" customWidth="1"/>
    <col min="3" max="3" width="16.28515625" style="88" customWidth="1"/>
    <col min="4" max="4" width="14.85546875" style="88" customWidth="1"/>
    <col min="5" max="5" width="15.7109375" style="88" customWidth="1"/>
    <col min="6" max="6" width="14.7109375" style="88" customWidth="1"/>
    <col min="7" max="7" width="16.7109375" style="88" customWidth="1"/>
    <col min="8" max="9" width="13.140625" style="88" bestFit="1" customWidth="1"/>
    <col min="10" max="16384" width="9.140625" style="88"/>
  </cols>
  <sheetData>
    <row r="1" spans="1:9" ht="37.5" customHeight="1" thickBot="1" x14ac:dyDescent="0.3">
      <c r="A1" s="1032" t="s">
        <v>519</v>
      </c>
      <c r="B1" s="1032"/>
      <c r="C1" s="1032"/>
      <c r="D1" s="1032"/>
      <c r="E1" s="1032"/>
      <c r="F1" s="1032"/>
      <c r="G1" s="1032"/>
    </row>
    <row r="2" spans="1:9" ht="99" customHeight="1" thickBot="1" x14ac:dyDescent="0.3">
      <c r="A2" s="494" t="s">
        <v>264</v>
      </c>
      <c r="B2" s="495" t="s">
        <v>265</v>
      </c>
      <c r="C2" s="371" t="s">
        <v>266</v>
      </c>
      <c r="D2" s="496" t="s">
        <v>257</v>
      </c>
      <c r="E2" s="496" t="s">
        <v>258</v>
      </c>
      <c r="F2" s="371" t="s">
        <v>267</v>
      </c>
      <c r="G2" s="372" t="s">
        <v>268</v>
      </c>
    </row>
    <row r="3" spans="1:9" ht="30" x14ac:dyDescent="0.25">
      <c r="A3" s="508" t="s">
        <v>269</v>
      </c>
      <c r="B3" s="491">
        <v>93</v>
      </c>
      <c r="C3" s="492">
        <f>B3/$B$16</f>
        <v>5.7336621454993832E-2</v>
      </c>
      <c r="D3" s="493">
        <v>430161</v>
      </c>
      <c r="E3" s="493">
        <v>161602</v>
      </c>
      <c r="F3" s="493">
        <f>D3+E3</f>
        <v>591763</v>
      </c>
      <c r="G3" s="497">
        <f>F3/$F$16</f>
        <v>5.7500522035941144E-2</v>
      </c>
      <c r="H3" s="89"/>
      <c r="I3" s="89"/>
    </row>
    <row r="4" spans="1:9" ht="30" x14ac:dyDescent="0.25">
      <c r="A4" s="509" t="s">
        <v>270</v>
      </c>
      <c r="B4" s="490">
        <v>89</v>
      </c>
      <c r="C4" s="332">
        <f t="shared" ref="C4:C15" si="0">B4/$B$16</f>
        <v>5.4870530209617754E-2</v>
      </c>
      <c r="D4" s="331">
        <v>387809</v>
      </c>
      <c r="E4" s="331">
        <v>121351</v>
      </c>
      <c r="F4" s="331">
        <f t="shared" ref="F4:F15" si="1">D4+E4</f>
        <v>509160</v>
      </c>
      <c r="G4" s="498">
        <f t="shared" ref="G4:G15" si="2">F4/$F$16</f>
        <v>4.9474140491750571E-2</v>
      </c>
      <c r="H4" s="89"/>
      <c r="I4" s="89"/>
    </row>
    <row r="5" spans="1:9" ht="30" x14ac:dyDescent="0.25">
      <c r="A5" s="509" t="s">
        <v>263</v>
      </c>
      <c r="B5" s="490">
        <v>89</v>
      </c>
      <c r="C5" s="332">
        <f t="shared" si="0"/>
        <v>5.4870530209617754E-2</v>
      </c>
      <c r="D5" s="331">
        <v>627421</v>
      </c>
      <c r="E5" s="331">
        <v>287283</v>
      </c>
      <c r="F5" s="331">
        <f t="shared" si="1"/>
        <v>914704</v>
      </c>
      <c r="G5" s="498">
        <f t="shared" si="2"/>
        <v>8.8880104887198941E-2</v>
      </c>
      <c r="H5" s="89"/>
      <c r="I5" s="89"/>
    </row>
    <row r="6" spans="1:9" x14ac:dyDescent="0.25">
      <c r="A6" s="509" t="s">
        <v>271</v>
      </c>
      <c r="B6" s="490">
        <v>91</v>
      </c>
      <c r="C6" s="332">
        <f t="shared" si="0"/>
        <v>5.6103575832305796E-2</v>
      </c>
      <c r="D6" s="331">
        <v>481498</v>
      </c>
      <c r="E6" s="331">
        <v>209480</v>
      </c>
      <c r="F6" s="331">
        <f t="shared" si="1"/>
        <v>690978</v>
      </c>
      <c r="G6" s="498">
        <f t="shared" si="2"/>
        <v>6.7141061058820062E-2</v>
      </c>
      <c r="H6" s="89"/>
      <c r="I6" s="89"/>
    </row>
    <row r="7" spans="1:9" ht="45" x14ac:dyDescent="0.25">
      <c r="A7" s="509" t="s">
        <v>272</v>
      </c>
      <c r="B7" s="490">
        <v>105</v>
      </c>
      <c r="C7" s="332">
        <f t="shared" si="0"/>
        <v>6.4734895191122077E-2</v>
      </c>
      <c r="D7" s="331">
        <v>767607</v>
      </c>
      <c r="E7" s="331">
        <v>356229</v>
      </c>
      <c r="F7" s="331">
        <f t="shared" si="1"/>
        <v>1123836</v>
      </c>
      <c r="G7" s="498">
        <f t="shared" si="2"/>
        <v>0.10920107658434872</v>
      </c>
      <c r="H7" s="89"/>
      <c r="I7" s="89"/>
    </row>
    <row r="8" spans="1:9" ht="48" customHeight="1" x14ac:dyDescent="0.25">
      <c r="A8" s="509" t="s">
        <v>273</v>
      </c>
      <c r="B8" s="490">
        <v>114</v>
      </c>
      <c r="C8" s="332">
        <f t="shared" si="0"/>
        <v>7.0283600493218246E-2</v>
      </c>
      <c r="D8" s="331">
        <v>548244</v>
      </c>
      <c r="E8" s="331">
        <v>275908</v>
      </c>
      <c r="F8" s="331">
        <f t="shared" si="1"/>
        <v>824152</v>
      </c>
      <c r="G8" s="498">
        <f t="shared" si="2"/>
        <v>8.0081333636886673E-2</v>
      </c>
      <c r="H8" s="89"/>
      <c r="I8" s="89"/>
    </row>
    <row r="9" spans="1:9" ht="45" x14ac:dyDescent="0.25">
      <c r="A9" s="509" t="s">
        <v>274</v>
      </c>
      <c r="B9" s="490">
        <v>181</v>
      </c>
      <c r="C9" s="332">
        <f t="shared" si="0"/>
        <v>0.11159062885326756</v>
      </c>
      <c r="D9" s="331">
        <v>912545</v>
      </c>
      <c r="E9" s="331">
        <v>493725</v>
      </c>
      <c r="F9" s="331">
        <f t="shared" si="1"/>
        <v>1406270</v>
      </c>
      <c r="G9" s="498">
        <f t="shared" si="2"/>
        <v>0.1366446687668593</v>
      </c>
      <c r="H9" s="89"/>
      <c r="I9" s="89"/>
    </row>
    <row r="10" spans="1:9" ht="30" x14ac:dyDescent="0.25">
      <c r="A10" s="509" t="s">
        <v>275</v>
      </c>
      <c r="B10" s="490">
        <v>220</v>
      </c>
      <c r="C10" s="332">
        <f t="shared" si="0"/>
        <v>0.13563501849568435</v>
      </c>
      <c r="D10" s="331">
        <v>1317329</v>
      </c>
      <c r="E10" s="331">
        <v>614256</v>
      </c>
      <c r="F10" s="331">
        <f t="shared" si="1"/>
        <v>1931585</v>
      </c>
      <c r="G10" s="498">
        <f t="shared" si="2"/>
        <v>0.18768856088804703</v>
      </c>
      <c r="H10" s="89"/>
      <c r="I10" s="89"/>
    </row>
    <row r="11" spans="1:9" x14ac:dyDescent="0.25">
      <c r="A11" s="509" t="s">
        <v>276</v>
      </c>
      <c r="B11" s="490">
        <v>125</v>
      </c>
      <c r="C11" s="332">
        <f t="shared" si="0"/>
        <v>7.706535141800247E-2</v>
      </c>
      <c r="D11" s="331">
        <v>619572</v>
      </c>
      <c r="E11" s="331">
        <v>255031</v>
      </c>
      <c r="F11" s="331">
        <f t="shared" si="1"/>
        <v>874603</v>
      </c>
      <c r="G11" s="498">
        <f t="shared" si="2"/>
        <v>8.4983564491528246E-2</v>
      </c>
      <c r="H11" s="89"/>
      <c r="I11" s="89"/>
    </row>
    <row r="12" spans="1:9" ht="30" x14ac:dyDescent="0.25">
      <c r="A12" s="511" t="s">
        <v>277</v>
      </c>
      <c r="B12" s="490">
        <v>125</v>
      </c>
      <c r="C12" s="332">
        <f t="shared" si="0"/>
        <v>7.706535141800247E-2</v>
      </c>
      <c r="D12" s="331">
        <v>271035</v>
      </c>
      <c r="E12" s="331">
        <v>62233</v>
      </c>
      <c r="F12" s="331">
        <f t="shared" si="1"/>
        <v>333268</v>
      </c>
      <c r="G12" s="498">
        <f t="shared" si="2"/>
        <v>3.2383038442542089E-2</v>
      </c>
      <c r="H12" s="89"/>
      <c r="I12" s="89"/>
    </row>
    <row r="13" spans="1:9" ht="30" x14ac:dyDescent="0.25">
      <c r="A13" s="509" t="s">
        <v>278</v>
      </c>
      <c r="B13" s="490">
        <v>85</v>
      </c>
      <c r="C13" s="332">
        <f t="shared" si="0"/>
        <v>5.2404438964241677E-2</v>
      </c>
      <c r="D13" s="331">
        <v>205123</v>
      </c>
      <c r="E13" s="331">
        <v>47473</v>
      </c>
      <c r="F13" s="331">
        <f t="shared" si="1"/>
        <v>252596</v>
      </c>
      <c r="G13" s="498">
        <f t="shared" si="2"/>
        <v>2.4544288615865793E-2</v>
      </c>
      <c r="H13" s="89"/>
      <c r="I13" s="89"/>
    </row>
    <row r="14" spans="1:9" ht="21.75" customHeight="1" x14ac:dyDescent="0.25">
      <c r="A14" s="509" t="s">
        <v>279</v>
      </c>
      <c r="B14" s="490">
        <v>99</v>
      </c>
      <c r="C14" s="332">
        <f t="shared" si="0"/>
        <v>6.1035758323057951E-2</v>
      </c>
      <c r="D14" s="331">
        <v>223519</v>
      </c>
      <c r="E14" s="331">
        <v>39374</v>
      </c>
      <c r="F14" s="331">
        <f t="shared" si="1"/>
        <v>262893</v>
      </c>
      <c r="G14" s="498">
        <f t="shared" si="2"/>
        <v>2.5544829162341468E-2</v>
      </c>
      <c r="H14" s="89"/>
      <c r="I14" s="89"/>
    </row>
    <row r="15" spans="1:9" ht="16.5" thickBot="1" x14ac:dyDescent="0.3">
      <c r="A15" s="510" t="s">
        <v>280</v>
      </c>
      <c r="B15" s="499">
        <v>206</v>
      </c>
      <c r="C15" s="500">
        <f t="shared" si="0"/>
        <v>0.12700369913686807</v>
      </c>
      <c r="D15" s="501">
        <v>472074</v>
      </c>
      <c r="E15" s="501">
        <v>103555</v>
      </c>
      <c r="F15" s="501">
        <f t="shared" si="1"/>
        <v>575629</v>
      </c>
      <c r="G15" s="502">
        <f t="shared" si="2"/>
        <v>5.5932810937869996E-2</v>
      </c>
      <c r="H15" s="89"/>
      <c r="I15" s="89"/>
    </row>
    <row r="16" spans="1:9" ht="16.5" thickBot="1" x14ac:dyDescent="0.3">
      <c r="A16" s="503" t="s">
        <v>21</v>
      </c>
      <c r="B16" s="504">
        <f t="shared" ref="B16:G16" si="3">SUM(B3:B15)</f>
        <v>1622</v>
      </c>
      <c r="C16" s="505">
        <f t="shared" si="3"/>
        <v>0.99999999999999989</v>
      </c>
      <c r="D16" s="506">
        <f t="shared" si="3"/>
        <v>7263937</v>
      </c>
      <c r="E16" s="506">
        <f t="shared" si="3"/>
        <v>3027500</v>
      </c>
      <c r="F16" s="506">
        <f t="shared" si="3"/>
        <v>10291437</v>
      </c>
      <c r="G16" s="507">
        <f t="shared" si="3"/>
        <v>0.99999999999999989</v>
      </c>
      <c r="H16" s="89"/>
      <c r="I16" s="89"/>
    </row>
    <row r="17" spans="1:7" x14ac:dyDescent="0.25">
      <c r="A17" s="324"/>
      <c r="B17" s="324"/>
      <c r="C17" s="324"/>
      <c r="D17" s="324"/>
      <c r="E17" s="324"/>
      <c r="F17" s="324"/>
      <c r="G17" s="325" t="s">
        <v>530</v>
      </c>
    </row>
    <row r="18" spans="1:7" x14ac:dyDescent="0.25">
      <c r="A18" s="324"/>
      <c r="B18" s="324"/>
      <c r="C18" s="324"/>
      <c r="D18" s="324"/>
      <c r="E18" s="324"/>
      <c r="F18" s="324"/>
      <c r="G18" s="324"/>
    </row>
  </sheetData>
  <mergeCells count="1">
    <mergeCell ref="A1:G1"/>
  </mergeCells>
  <pageMargins left="0.70866141732283472" right="0.31496062992125984" top="0.74803149606299213" bottom="0.55118110236220474" header="0.31496062992125984" footer="0.11811023622047245"/>
  <pageSetup paperSize="9" scale="93" fitToHeight="0" orientation="landscape" r:id="rId1"/>
  <headerFoot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opLeftCell="A13" workbookViewId="0">
      <selection activeCell="A18" sqref="A18"/>
    </sheetView>
  </sheetViews>
  <sheetFormatPr defaultRowHeight="15.75" x14ac:dyDescent="0.25"/>
  <cols>
    <col min="1" max="1" width="19.5703125" style="90" customWidth="1"/>
    <col min="2" max="2" width="13.140625" style="90" customWidth="1"/>
    <col min="3" max="3" width="12" style="90" customWidth="1"/>
    <col min="4" max="4" width="15.7109375" style="90" customWidth="1"/>
    <col min="5" max="5" width="15" style="90" customWidth="1"/>
    <col min="6" max="6" width="14.42578125" style="90" customWidth="1"/>
    <col min="7" max="7" width="13.85546875" style="90" customWidth="1"/>
    <col min="8" max="8" width="13.5703125" style="90" customWidth="1"/>
    <col min="9" max="9" width="11.85546875" style="90" customWidth="1"/>
    <col min="10" max="10" width="14.5703125" style="90" customWidth="1"/>
    <col min="11" max="11" width="33" style="90" customWidth="1"/>
    <col min="12" max="12" width="20.28515625" style="90" bestFit="1" customWidth="1"/>
    <col min="13" max="13" width="32.140625" style="90" bestFit="1" customWidth="1"/>
    <col min="14" max="14" width="33" style="90" bestFit="1" customWidth="1"/>
    <col min="15" max="15" width="11.85546875" style="90" bestFit="1" customWidth="1"/>
    <col min="16" max="16" width="12.5703125" style="90" bestFit="1" customWidth="1"/>
    <col min="17" max="16384" width="9.140625" style="90"/>
  </cols>
  <sheetData>
    <row r="1" spans="1:12" ht="57.75" customHeight="1" thickBot="1" x14ac:dyDescent="0.3">
      <c r="A1" s="1033" t="s">
        <v>281</v>
      </c>
      <c r="B1" s="1033"/>
      <c r="C1" s="1033"/>
      <c r="D1" s="1033"/>
      <c r="E1" s="1033"/>
      <c r="F1" s="1033"/>
      <c r="G1" s="1033"/>
      <c r="H1" s="1033"/>
      <c r="I1" s="1033"/>
      <c r="J1" s="1033"/>
    </row>
    <row r="2" spans="1:12" ht="120.75" thickBot="1" x14ac:dyDescent="0.3">
      <c r="A2" s="333" t="s">
        <v>56</v>
      </c>
      <c r="B2" s="334" t="s">
        <v>252</v>
      </c>
      <c r="C2" s="335" t="s">
        <v>253</v>
      </c>
      <c r="D2" s="335" t="s">
        <v>254</v>
      </c>
      <c r="E2" s="335" t="s">
        <v>255</v>
      </c>
      <c r="F2" s="336" t="s">
        <v>256</v>
      </c>
      <c r="G2" s="337" t="s">
        <v>257</v>
      </c>
      <c r="H2" s="335" t="s">
        <v>258</v>
      </c>
      <c r="I2" s="335" t="s">
        <v>259</v>
      </c>
      <c r="J2" s="336" t="s">
        <v>260</v>
      </c>
    </row>
    <row r="3" spans="1:12" x14ac:dyDescent="0.25">
      <c r="A3" s="813" t="s">
        <v>29</v>
      </c>
      <c r="B3" s="338">
        <v>36</v>
      </c>
      <c r="C3" s="512">
        <v>8</v>
      </c>
      <c r="D3" s="512">
        <v>28</v>
      </c>
      <c r="E3" s="339">
        <f t="shared" ref="E3:E22" si="0">SUM(C3:D3)</f>
        <v>36</v>
      </c>
      <c r="F3" s="340">
        <f>E3/$E$23</f>
        <v>0.11145510835913312</v>
      </c>
      <c r="G3" s="515">
        <v>171861</v>
      </c>
      <c r="H3" s="512">
        <v>29533</v>
      </c>
      <c r="I3" s="341">
        <f t="shared" ref="I3:I22" si="1">SUM(G3:H3)</f>
        <v>201394</v>
      </c>
      <c r="J3" s="342">
        <f>I3/$I$23</f>
        <v>8.1987461325517014E-2</v>
      </c>
      <c r="K3" s="91"/>
      <c r="L3" s="91"/>
    </row>
    <row r="4" spans="1:12" x14ac:dyDescent="0.25">
      <c r="A4" s="814" t="s">
        <v>39</v>
      </c>
      <c r="B4" s="343">
        <v>11</v>
      </c>
      <c r="C4" s="513">
        <v>5</v>
      </c>
      <c r="D4" s="513">
        <v>6</v>
      </c>
      <c r="E4" s="326">
        <f t="shared" si="0"/>
        <v>11</v>
      </c>
      <c r="F4" s="344">
        <f t="shared" ref="F4:F22" si="2">E4/$E$23</f>
        <v>3.4055727554179564E-2</v>
      </c>
      <c r="G4" s="516">
        <v>83954</v>
      </c>
      <c r="H4" s="513">
        <v>35762</v>
      </c>
      <c r="I4" s="345">
        <f t="shared" si="1"/>
        <v>119716</v>
      </c>
      <c r="J4" s="346">
        <f>I4/$I$23</f>
        <v>4.8736362156000648E-2</v>
      </c>
      <c r="K4" s="91"/>
      <c r="L4" s="91"/>
    </row>
    <row r="5" spans="1:12" x14ac:dyDescent="0.25">
      <c r="A5" s="815" t="s">
        <v>37</v>
      </c>
      <c r="B5" s="343">
        <v>36</v>
      </c>
      <c r="C5" s="513">
        <v>15</v>
      </c>
      <c r="D5" s="513">
        <v>11</v>
      </c>
      <c r="E5" s="326">
        <f t="shared" si="0"/>
        <v>26</v>
      </c>
      <c r="F5" s="344">
        <f t="shared" si="2"/>
        <v>8.0495356037151702E-2</v>
      </c>
      <c r="G5" s="516">
        <v>128732</v>
      </c>
      <c r="H5" s="513">
        <v>27610</v>
      </c>
      <c r="I5" s="345">
        <f t="shared" si="1"/>
        <v>156342</v>
      </c>
      <c r="J5" s="346">
        <f>I5/$I$23</f>
        <v>6.3646800195407915E-2</v>
      </c>
      <c r="K5" s="91"/>
      <c r="L5" s="91"/>
    </row>
    <row r="6" spans="1:12" x14ac:dyDescent="0.25">
      <c r="A6" s="815" t="s">
        <v>42</v>
      </c>
      <c r="B6" s="343">
        <v>13</v>
      </c>
      <c r="C6" s="513">
        <v>2</v>
      </c>
      <c r="D6" s="513">
        <v>1</v>
      </c>
      <c r="E6" s="326">
        <f t="shared" si="0"/>
        <v>3</v>
      </c>
      <c r="F6" s="344">
        <f t="shared" si="2"/>
        <v>9.2879256965944269E-3</v>
      </c>
      <c r="G6" s="516">
        <v>17794</v>
      </c>
      <c r="H6" s="513">
        <v>5622</v>
      </c>
      <c r="I6" s="345">
        <f t="shared" si="1"/>
        <v>23416</v>
      </c>
      <c r="J6" s="346">
        <f t="shared" ref="J6:J22" si="3">I6/$I$23</f>
        <v>9.5326494056342612E-3</v>
      </c>
      <c r="K6" s="91"/>
      <c r="L6" s="91"/>
    </row>
    <row r="7" spans="1:12" x14ac:dyDescent="0.25">
      <c r="A7" s="815" t="s">
        <v>181</v>
      </c>
      <c r="B7" s="343">
        <v>4</v>
      </c>
      <c r="C7" s="513">
        <v>3</v>
      </c>
      <c r="D7" s="513">
        <v>11</v>
      </c>
      <c r="E7" s="326">
        <f t="shared" si="0"/>
        <v>14</v>
      </c>
      <c r="F7" s="344">
        <f t="shared" si="2"/>
        <v>4.3343653250773995E-2</v>
      </c>
      <c r="G7" s="516">
        <v>102110</v>
      </c>
      <c r="H7" s="513">
        <v>25907</v>
      </c>
      <c r="I7" s="345">
        <f t="shared" si="1"/>
        <v>128017</v>
      </c>
      <c r="J7" s="346">
        <f t="shared" si="3"/>
        <v>5.2115697769092979E-2</v>
      </c>
      <c r="K7" s="91"/>
      <c r="L7" s="91"/>
    </row>
    <row r="8" spans="1:12" x14ac:dyDescent="0.25">
      <c r="A8" s="815" t="s">
        <v>35</v>
      </c>
      <c r="B8" s="343">
        <v>29</v>
      </c>
      <c r="C8" s="513">
        <v>9</v>
      </c>
      <c r="D8" s="513">
        <v>20</v>
      </c>
      <c r="E8" s="326">
        <f t="shared" si="0"/>
        <v>29</v>
      </c>
      <c r="F8" s="344">
        <f t="shared" si="2"/>
        <v>8.9783281733746126E-2</v>
      </c>
      <c r="G8" s="516">
        <v>173470</v>
      </c>
      <c r="H8" s="513">
        <v>8842</v>
      </c>
      <c r="I8" s="345">
        <f t="shared" si="1"/>
        <v>182312</v>
      </c>
      <c r="J8" s="346">
        <f t="shared" si="3"/>
        <v>7.4219182543559678E-2</v>
      </c>
      <c r="K8" s="91"/>
      <c r="L8" s="91"/>
    </row>
    <row r="9" spans="1:12" x14ac:dyDescent="0.25">
      <c r="A9" s="825" t="s">
        <v>261</v>
      </c>
      <c r="B9" s="343">
        <v>11</v>
      </c>
      <c r="C9" s="513">
        <v>3</v>
      </c>
      <c r="D9" s="513">
        <v>10</v>
      </c>
      <c r="E9" s="326">
        <f t="shared" si="0"/>
        <v>13</v>
      </c>
      <c r="F9" s="344">
        <f t="shared" si="2"/>
        <v>4.0247678018575851E-2</v>
      </c>
      <c r="G9" s="516">
        <v>55491</v>
      </c>
      <c r="H9" s="513">
        <v>0</v>
      </c>
      <c r="I9" s="345">
        <f t="shared" si="1"/>
        <v>55491</v>
      </c>
      <c r="J9" s="346">
        <f t="shared" si="3"/>
        <v>2.2590376160234491E-2</v>
      </c>
      <c r="K9" s="91"/>
      <c r="L9" s="91"/>
    </row>
    <row r="10" spans="1:12" x14ac:dyDescent="0.25">
      <c r="A10" s="815" t="s">
        <v>40</v>
      </c>
      <c r="B10" s="343">
        <v>8</v>
      </c>
      <c r="C10" s="513">
        <v>4</v>
      </c>
      <c r="D10" s="513">
        <v>7</v>
      </c>
      <c r="E10" s="326">
        <f t="shared" si="0"/>
        <v>11</v>
      </c>
      <c r="F10" s="344">
        <f t="shared" si="2"/>
        <v>3.4055727554179564E-2</v>
      </c>
      <c r="G10" s="516">
        <v>86714</v>
      </c>
      <c r="H10" s="513">
        <v>15481</v>
      </c>
      <c r="I10" s="345">
        <f t="shared" si="1"/>
        <v>102195</v>
      </c>
      <c r="J10" s="346">
        <f t="shared" si="3"/>
        <v>4.1603566194430876E-2</v>
      </c>
      <c r="K10" s="91"/>
      <c r="L10" s="91"/>
    </row>
    <row r="11" spans="1:12" x14ac:dyDescent="0.25">
      <c r="A11" s="814" t="s">
        <v>30</v>
      </c>
      <c r="B11" s="343">
        <v>37</v>
      </c>
      <c r="C11" s="513">
        <v>11</v>
      </c>
      <c r="D11" s="513">
        <v>18</v>
      </c>
      <c r="E11" s="326">
        <f t="shared" si="0"/>
        <v>29</v>
      </c>
      <c r="F11" s="344">
        <f t="shared" si="2"/>
        <v>8.9783281733746126E-2</v>
      </c>
      <c r="G11" s="516">
        <v>208096</v>
      </c>
      <c r="H11" s="513">
        <v>78255</v>
      </c>
      <c r="I11" s="345">
        <f t="shared" si="1"/>
        <v>286351</v>
      </c>
      <c r="J11" s="346">
        <f t="shared" si="3"/>
        <v>0.11657344080768604</v>
      </c>
      <c r="K11" s="91"/>
      <c r="L11" s="91"/>
    </row>
    <row r="12" spans="1:12" x14ac:dyDescent="0.25">
      <c r="A12" s="815" t="s">
        <v>31</v>
      </c>
      <c r="B12" s="343">
        <v>49</v>
      </c>
      <c r="C12" s="513">
        <v>15</v>
      </c>
      <c r="D12" s="513">
        <v>23</v>
      </c>
      <c r="E12" s="326">
        <f t="shared" si="0"/>
        <v>38</v>
      </c>
      <c r="F12" s="344">
        <f t="shared" si="2"/>
        <v>0.11764705882352941</v>
      </c>
      <c r="G12" s="516">
        <v>238656</v>
      </c>
      <c r="H12" s="513">
        <v>117025</v>
      </c>
      <c r="I12" s="345">
        <f t="shared" si="1"/>
        <v>355681</v>
      </c>
      <c r="J12" s="346">
        <f t="shared" si="3"/>
        <v>0.14479767138902458</v>
      </c>
      <c r="K12" s="91"/>
      <c r="L12" s="91"/>
    </row>
    <row r="13" spans="1:12" x14ac:dyDescent="0.25">
      <c r="A13" s="813" t="s">
        <v>58</v>
      </c>
      <c r="B13" s="343">
        <v>57</v>
      </c>
      <c r="C13" s="513">
        <v>19</v>
      </c>
      <c r="D13" s="513">
        <v>17</v>
      </c>
      <c r="E13" s="326">
        <f t="shared" si="0"/>
        <v>36</v>
      </c>
      <c r="F13" s="344">
        <f t="shared" si="2"/>
        <v>0.11145510835913312</v>
      </c>
      <c r="G13" s="516">
        <v>205055</v>
      </c>
      <c r="H13" s="513">
        <v>88361</v>
      </c>
      <c r="I13" s="345">
        <f t="shared" si="1"/>
        <v>293416</v>
      </c>
      <c r="J13" s="346">
        <f t="shared" si="3"/>
        <v>0.11944960104217554</v>
      </c>
      <c r="K13" s="91"/>
      <c r="L13" s="91"/>
    </row>
    <row r="14" spans="1:12" x14ac:dyDescent="0.25">
      <c r="A14" s="815" t="s">
        <v>593</v>
      </c>
      <c r="B14" s="343">
        <v>7</v>
      </c>
      <c r="C14" s="513">
        <v>0</v>
      </c>
      <c r="D14" s="513">
        <v>4</v>
      </c>
      <c r="E14" s="326">
        <f t="shared" si="0"/>
        <v>4</v>
      </c>
      <c r="F14" s="344">
        <f t="shared" si="2"/>
        <v>1.238390092879257E-2</v>
      </c>
      <c r="G14" s="516">
        <v>23251</v>
      </c>
      <c r="H14" s="513">
        <v>12363</v>
      </c>
      <c r="I14" s="345">
        <f t="shared" si="1"/>
        <v>35614</v>
      </c>
      <c r="J14" s="346">
        <f t="shared" si="3"/>
        <v>1.449845302068067E-2</v>
      </c>
      <c r="K14" s="91"/>
      <c r="L14" s="91"/>
    </row>
    <row r="15" spans="1:12" x14ac:dyDescent="0.25">
      <c r="A15" s="815" t="s">
        <v>33</v>
      </c>
      <c r="B15" s="343">
        <v>23</v>
      </c>
      <c r="C15" s="513">
        <v>4</v>
      </c>
      <c r="D15" s="513">
        <v>5</v>
      </c>
      <c r="E15" s="326">
        <f t="shared" si="0"/>
        <v>9</v>
      </c>
      <c r="F15" s="344">
        <f t="shared" si="2"/>
        <v>2.7863777089783281E-2</v>
      </c>
      <c r="G15" s="516">
        <v>47705</v>
      </c>
      <c r="H15" s="513">
        <v>13393</v>
      </c>
      <c r="I15" s="345">
        <f t="shared" si="1"/>
        <v>61098</v>
      </c>
      <c r="J15" s="346">
        <f t="shared" si="3"/>
        <v>2.4872984855886664E-2</v>
      </c>
      <c r="K15" s="91"/>
      <c r="L15" s="91"/>
    </row>
    <row r="16" spans="1:12" x14ac:dyDescent="0.25">
      <c r="A16" s="813" t="s">
        <v>38</v>
      </c>
      <c r="B16" s="343">
        <v>18</v>
      </c>
      <c r="C16" s="513">
        <v>10</v>
      </c>
      <c r="D16" s="513">
        <v>13</v>
      </c>
      <c r="E16" s="326">
        <f t="shared" si="0"/>
        <v>23</v>
      </c>
      <c r="F16" s="344">
        <f t="shared" si="2"/>
        <v>7.1207430340557279E-2</v>
      </c>
      <c r="G16" s="516">
        <v>146345</v>
      </c>
      <c r="H16" s="513">
        <v>65534</v>
      </c>
      <c r="I16" s="345">
        <f t="shared" si="1"/>
        <v>211879</v>
      </c>
      <c r="J16" s="346">
        <f t="shared" si="3"/>
        <v>8.6255902947402707E-2</v>
      </c>
      <c r="K16" s="91"/>
      <c r="L16" s="91"/>
    </row>
    <row r="17" spans="1:12" x14ac:dyDescent="0.25">
      <c r="A17" s="814" t="s">
        <v>44</v>
      </c>
      <c r="B17" s="343">
        <v>8</v>
      </c>
      <c r="C17" s="513">
        <v>4</v>
      </c>
      <c r="D17" s="513">
        <v>11</v>
      </c>
      <c r="E17" s="326">
        <f t="shared" si="0"/>
        <v>15</v>
      </c>
      <c r="F17" s="344">
        <f t="shared" si="2"/>
        <v>4.6439628482972138E-2</v>
      </c>
      <c r="G17" s="516">
        <v>79189</v>
      </c>
      <c r="H17" s="513">
        <v>28321</v>
      </c>
      <c r="I17" s="345">
        <f t="shared" si="1"/>
        <v>107510</v>
      </c>
      <c r="J17" s="346">
        <f t="shared" si="3"/>
        <v>4.3767301742387237E-2</v>
      </c>
      <c r="K17" s="91"/>
      <c r="L17" s="91"/>
    </row>
    <row r="18" spans="1:12" x14ac:dyDescent="0.25">
      <c r="A18" s="815" t="s">
        <v>49</v>
      </c>
      <c r="B18" s="343">
        <v>5</v>
      </c>
      <c r="C18" s="513">
        <v>2</v>
      </c>
      <c r="D18" s="513">
        <v>5</v>
      </c>
      <c r="E18" s="326">
        <f t="shared" si="0"/>
        <v>7</v>
      </c>
      <c r="F18" s="344">
        <f t="shared" si="2"/>
        <v>2.1671826625386997E-2</v>
      </c>
      <c r="G18" s="516">
        <v>43554</v>
      </c>
      <c r="H18" s="513">
        <v>8224</v>
      </c>
      <c r="I18" s="345">
        <f t="shared" si="1"/>
        <v>51778</v>
      </c>
      <c r="J18" s="346">
        <f t="shared" si="3"/>
        <v>2.107881452532161E-2</v>
      </c>
      <c r="K18" s="91"/>
      <c r="L18" s="91"/>
    </row>
    <row r="19" spans="1:12" x14ac:dyDescent="0.25">
      <c r="A19" s="815" t="s">
        <v>52</v>
      </c>
      <c r="B19" s="343">
        <v>5</v>
      </c>
      <c r="C19" s="513">
        <v>0</v>
      </c>
      <c r="D19" s="513">
        <v>4</v>
      </c>
      <c r="E19" s="326">
        <f t="shared" si="0"/>
        <v>4</v>
      </c>
      <c r="F19" s="344">
        <f t="shared" si="2"/>
        <v>1.238390092879257E-2</v>
      </c>
      <c r="G19" s="516">
        <v>18511</v>
      </c>
      <c r="H19" s="513">
        <v>0</v>
      </c>
      <c r="I19" s="345">
        <f t="shared" si="1"/>
        <v>18511</v>
      </c>
      <c r="J19" s="346">
        <f t="shared" si="3"/>
        <v>7.5358247842370945E-3</v>
      </c>
      <c r="K19" s="91"/>
      <c r="L19" s="91"/>
    </row>
    <row r="20" spans="1:12" ht="16.5" customHeight="1" x14ac:dyDescent="0.25">
      <c r="A20" s="815" t="s">
        <v>262</v>
      </c>
      <c r="B20" s="343">
        <v>3</v>
      </c>
      <c r="C20" s="513">
        <v>2</v>
      </c>
      <c r="D20" s="513">
        <v>4</v>
      </c>
      <c r="E20" s="326">
        <f t="shared" si="0"/>
        <v>6</v>
      </c>
      <c r="F20" s="344">
        <f t="shared" si="2"/>
        <v>1.8575851393188854E-2</v>
      </c>
      <c r="G20" s="516">
        <v>22306</v>
      </c>
      <c r="H20" s="513">
        <v>3110</v>
      </c>
      <c r="I20" s="345">
        <f t="shared" si="1"/>
        <v>25416</v>
      </c>
      <c r="J20" s="346">
        <f t="shared" si="3"/>
        <v>1.0346849047386419E-2</v>
      </c>
      <c r="K20" s="91"/>
      <c r="L20" s="91"/>
    </row>
    <row r="21" spans="1:12" x14ac:dyDescent="0.25">
      <c r="A21" s="815" t="s">
        <v>41</v>
      </c>
      <c r="B21" s="343">
        <v>16</v>
      </c>
      <c r="C21" s="513">
        <v>4</v>
      </c>
      <c r="D21" s="513">
        <v>3</v>
      </c>
      <c r="E21" s="326">
        <f t="shared" si="0"/>
        <v>7</v>
      </c>
      <c r="F21" s="344">
        <f t="shared" si="2"/>
        <v>2.1671826625386997E-2</v>
      </c>
      <c r="G21" s="516">
        <v>22098</v>
      </c>
      <c r="H21" s="513">
        <v>657</v>
      </c>
      <c r="I21" s="345">
        <f t="shared" si="1"/>
        <v>22755</v>
      </c>
      <c r="J21" s="346">
        <f t="shared" si="3"/>
        <v>9.2635564240351742E-3</v>
      </c>
      <c r="K21" s="91"/>
      <c r="L21" s="91"/>
    </row>
    <row r="22" spans="1:12" s="84" customFormat="1" ht="16.5" thickBot="1" x14ac:dyDescent="0.3">
      <c r="A22" s="815" t="s">
        <v>48</v>
      </c>
      <c r="B22" s="347">
        <v>5</v>
      </c>
      <c r="C22" s="514">
        <v>0</v>
      </c>
      <c r="D22" s="514">
        <v>2</v>
      </c>
      <c r="E22" s="348">
        <f t="shared" si="0"/>
        <v>2</v>
      </c>
      <c r="F22" s="349">
        <f t="shared" si="2"/>
        <v>6.1919504643962852E-3</v>
      </c>
      <c r="G22" s="517">
        <v>17508</v>
      </c>
      <c r="H22" s="514">
        <v>0</v>
      </c>
      <c r="I22" s="350">
        <f t="shared" si="1"/>
        <v>17508</v>
      </c>
      <c r="J22" s="351">
        <f t="shared" si="3"/>
        <v>7.127503663898388E-3</v>
      </c>
      <c r="K22" s="91"/>
      <c r="L22" s="91"/>
    </row>
    <row r="23" spans="1:12" s="92" customFormat="1" ht="16.5" thickBot="1" x14ac:dyDescent="0.3">
      <c r="A23" s="352" t="s">
        <v>21</v>
      </c>
      <c r="B23" s="353">
        <f t="shared" ref="B23:J23" si="4">SUM(B3:B22)</f>
        <v>381</v>
      </c>
      <c r="C23" s="353">
        <f t="shared" si="4"/>
        <v>120</v>
      </c>
      <c r="D23" s="353">
        <f t="shared" si="4"/>
        <v>203</v>
      </c>
      <c r="E23" s="353">
        <f t="shared" si="4"/>
        <v>323</v>
      </c>
      <c r="F23" s="354">
        <f t="shared" si="4"/>
        <v>1.0000000000000002</v>
      </c>
      <c r="G23" s="518">
        <f t="shared" si="4"/>
        <v>1892400</v>
      </c>
      <c r="H23" s="355">
        <f t="shared" si="4"/>
        <v>564000</v>
      </c>
      <c r="I23" s="355">
        <f t="shared" si="4"/>
        <v>2456400</v>
      </c>
      <c r="J23" s="356">
        <f t="shared" si="4"/>
        <v>0.99999999999999978</v>
      </c>
    </row>
    <row r="24" spans="1:12" x14ac:dyDescent="0.25">
      <c r="A24" s="93" t="s">
        <v>533</v>
      </c>
      <c r="B24" s="93"/>
      <c r="J24" s="87" t="s">
        <v>530</v>
      </c>
    </row>
    <row r="25" spans="1:12" s="93" customFormat="1" x14ac:dyDescent="0.25">
      <c r="A25" s="93" t="s">
        <v>534</v>
      </c>
      <c r="B25" s="90"/>
    </row>
    <row r="26" spans="1:12" x14ac:dyDescent="0.25">
      <c r="A26" s="93" t="s">
        <v>532</v>
      </c>
      <c r="B26" s="93"/>
    </row>
    <row r="27" spans="1:12" x14ac:dyDescent="0.25">
      <c r="C27" s="93"/>
    </row>
  </sheetData>
  <mergeCells count="1">
    <mergeCell ref="A1:J1"/>
  </mergeCells>
  <pageMargins left="0.70866141732283472" right="0.11811023622047245" top="0.74803149606299213" bottom="0.15748031496062992" header="0" footer="0"/>
  <pageSetup paperSize="9" scale="95" orientation="landscape" r:id="rId1"/>
  <headerFooter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C11" sqref="C11"/>
    </sheetView>
  </sheetViews>
  <sheetFormatPr defaultRowHeight="12.75" x14ac:dyDescent="0.2"/>
  <cols>
    <col min="1" max="1" width="14" style="95" customWidth="1"/>
    <col min="2" max="2" width="18.140625" style="95" customWidth="1"/>
    <col min="3" max="3" width="21" style="95" customWidth="1"/>
    <col min="4" max="4" width="16.85546875" style="95" customWidth="1"/>
    <col min="5" max="5" width="17.28515625" style="95" customWidth="1"/>
    <col min="6" max="6" width="11.7109375" style="95" customWidth="1"/>
    <col min="7" max="16384" width="9.140625" style="95"/>
  </cols>
  <sheetData>
    <row r="1" spans="1:9" ht="93.75" customHeight="1" thickBot="1" x14ac:dyDescent="0.25">
      <c r="A1" s="1034" t="s">
        <v>287</v>
      </c>
      <c r="B1" s="1034"/>
      <c r="C1" s="1034"/>
      <c r="D1" s="1034"/>
      <c r="E1" s="1034"/>
      <c r="F1" s="94"/>
      <c r="G1" s="94"/>
      <c r="H1" s="94"/>
      <c r="I1" s="94"/>
    </row>
    <row r="2" spans="1:9" ht="130.5" customHeight="1" thickBot="1" x14ac:dyDescent="0.25">
      <c r="A2" s="370" t="s">
        <v>56</v>
      </c>
      <c r="B2" s="371" t="s">
        <v>282</v>
      </c>
      <c r="C2" s="371" t="s">
        <v>283</v>
      </c>
      <c r="D2" s="371" t="s">
        <v>284</v>
      </c>
      <c r="E2" s="372" t="s">
        <v>285</v>
      </c>
    </row>
    <row r="3" spans="1:9" ht="25.5" customHeight="1" thickBot="1" x14ac:dyDescent="0.3">
      <c r="A3" s="519" t="s">
        <v>30</v>
      </c>
      <c r="B3" s="373">
        <v>4</v>
      </c>
      <c r="C3" s="374">
        <v>0.5</v>
      </c>
      <c r="D3" s="373">
        <v>985195</v>
      </c>
      <c r="E3" s="375">
        <v>0.74119999999999997</v>
      </c>
    </row>
    <row r="4" spans="1:9" ht="22.5" customHeight="1" thickBot="1" x14ac:dyDescent="0.3">
      <c r="A4" s="376" t="s">
        <v>21</v>
      </c>
      <c r="B4" s="377">
        <v>4</v>
      </c>
      <c r="C4" s="378">
        <v>0.5</v>
      </c>
      <c r="D4" s="377">
        <v>985195</v>
      </c>
      <c r="E4" s="379" t="s">
        <v>286</v>
      </c>
    </row>
    <row r="5" spans="1:9" ht="15.75" customHeight="1" x14ac:dyDescent="0.2">
      <c r="E5" s="87" t="s">
        <v>535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10" sqref="C10"/>
    </sheetView>
  </sheetViews>
  <sheetFormatPr defaultRowHeight="12.75" x14ac:dyDescent="0.2"/>
  <cols>
    <col min="1" max="1" width="31.42578125" style="99" customWidth="1"/>
    <col min="2" max="2" width="19.85546875" style="99" customWidth="1"/>
    <col min="3" max="3" width="17.28515625" style="99" customWidth="1"/>
    <col min="4" max="4" width="20.28515625" style="99" customWidth="1"/>
    <col min="5" max="16384" width="9.140625" style="99"/>
  </cols>
  <sheetData>
    <row r="1" spans="1:6" s="96" customFormat="1" ht="75" customHeight="1" thickBot="1" x14ac:dyDescent="0.3">
      <c r="A1" s="1035" t="s">
        <v>300</v>
      </c>
      <c r="B1" s="1035"/>
      <c r="C1" s="1035"/>
      <c r="D1" s="1035"/>
    </row>
    <row r="2" spans="1:6" s="97" customFormat="1" ht="120" customHeight="1" thickBot="1" x14ac:dyDescent="0.3">
      <c r="A2" s="528" t="s">
        <v>288</v>
      </c>
      <c r="B2" s="525" t="s">
        <v>289</v>
      </c>
      <c r="C2" s="523" t="s">
        <v>290</v>
      </c>
      <c r="D2" s="524" t="s">
        <v>291</v>
      </c>
    </row>
    <row r="3" spans="1:6" s="96" customFormat="1" ht="32.25" customHeight="1" x14ac:dyDescent="0.25">
      <c r="A3" s="529" t="s">
        <v>292</v>
      </c>
      <c r="B3" s="526">
        <v>0</v>
      </c>
      <c r="C3" s="521">
        <v>0</v>
      </c>
      <c r="D3" s="522" t="s">
        <v>286</v>
      </c>
    </row>
    <row r="4" spans="1:6" s="96" customFormat="1" ht="32.25" customHeight="1" x14ac:dyDescent="0.25">
      <c r="A4" s="530" t="s">
        <v>293</v>
      </c>
      <c r="B4" s="527">
        <v>0</v>
      </c>
      <c r="C4" s="357">
        <v>0</v>
      </c>
      <c r="D4" s="520" t="s">
        <v>286</v>
      </c>
    </row>
    <row r="5" spans="1:6" s="96" customFormat="1" ht="35.25" customHeight="1" x14ac:dyDescent="0.25">
      <c r="A5" s="530" t="s">
        <v>294</v>
      </c>
      <c r="B5" s="527">
        <v>0</v>
      </c>
      <c r="C5" s="357">
        <v>0</v>
      </c>
      <c r="D5" s="520" t="s">
        <v>286</v>
      </c>
    </row>
    <row r="6" spans="1:6" s="96" customFormat="1" ht="31.5" customHeight="1" x14ac:dyDescent="0.25">
      <c r="A6" s="530" t="s">
        <v>295</v>
      </c>
      <c r="B6" s="527">
        <v>0</v>
      </c>
      <c r="C6" s="357">
        <v>0</v>
      </c>
      <c r="D6" s="520" t="s">
        <v>286</v>
      </c>
    </row>
    <row r="7" spans="1:6" s="96" customFormat="1" ht="36.75" customHeight="1" x14ac:dyDescent="0.25">
      <c r="A7" s="530" t="s">
        <v>296</v>
      </c>
      <c r="B7" s="527">
        <v>0</v>
      </c>
      <c r="C7" s="357">
        <v>0</v>
      </c>
      <c r="D7" s="520" t="s">
        <v>286</v>
      </c>
      <c r="F7" s="98"/>
    </row>
    <row r="8" spans="1:6" s="96" customFormat="1" ht="72" customHeight="1" x14ac:dyDescent="0.25">
      <c r="A8" s="530" t="s">
        <v>297</v>
      </c>
      <c r="B8" s="527">
        <v>0</v>
      </c>
      <c r="C8" s="357">
        <v>0</v>
      </c>
      <c r="D8" s="520" t="s">
        <v>286</v>
      </c>
    </row>
    <row r="9" spans="1:6" s="96" customFormat="1" ht="60.75" customHeight="1" x14ac:dyDescent="0.25">
      <c r="A9" s="530" t="s">
        <v>298</v>
      </c>
      <c r="B9" s="527">
        <v>730266</v>
      </c>
      <c r="C9" s="357">
        <v>962623</v>
      </c>
      <c r="D9" s="520">
        <v>0.75860000000000005</v>
      </c>
    </row>
    <row r="10" spans="1:6" s="96" customFormat="1" ht="29.25" customHeight="1" thickBot="1" x14ac:dyDescent="0.3">
      <c r="A10" s="531" t="s">
        <v>299</v>
      </c>
      <c r="B10" s="532">
        <v>0</v>
      </c>
      <c r="C10" s="533">
        <v>22572</v>
      </c>
      <c r="D10" s="534">
        <v>0</v>
      </c>
    </row>
    <row r="11" spans="1:6" s="96" customFormat="1" ht="16.5" thickBot="1" x14ac:dyDescent="0.3">
      <c r="A11" s="535" t="s">
        <v>21</v>
      </c>
      <c r="B11" s="536">
        <v>730266</v>
      </c>
      <c r="C11" s="537">
        <v>985195</v>
      </c>
      <c r="D11" s="538">
        <v>0.74099999999999999</v>
      </c>
    </row>
    <row r="12" spans="1:6" ht="15.75" customHeight="1" x14ac:dyDescent="0.2">
      <c r="D12" s="87" t="s">
        <v>535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opLeftCell="A13" workbookViewId="0">
      <selection activeCell="C17" sqref="C17"/>
    </sheetView>
  </sheetViews>
  <sheetFormatPr defaultRowHeight="15.75" x14ac:dyDescent="0.25"/>
  <cols>
    <col min="1" max="1" width="20.42578125" style="103" customWidth="1"/>
    <col min="2" max="2" width="15" style="103" customWidth="1"/>
    <col min="3" max="3" width="16.5703125" style="103" customWidth="1"/>
    <col min="4" max="4" width="17.140625" style="103" customWidth="1"/>
    <col min="5" max="5" width="18.5703125" style="103" customWidth="1"/>
    <col min="6" max="7" width="23.28515625" style="103" customWidth="1"/>
    <col min="8" max="16384" width="9.140625" style="103"/>
  </cols>
  <sheetData>
    <row r="1" spans="1:7" s="100" customFormat="1" ht="78" customHeight="1" thickBot="1" x14ac:dyDescent="0.3">
      <c r="A1" s="1034" t="s">
        <v>305</v>
      </c>
      <c r="B1" s="1034"/>
      <c r="C1" s="1034"/>
      <c r="D1" s="1034"/>
      <c r="E1" s="1034"/>
      <c r="F1" s="106"/>
      <c r="G1" s="106"/>
    </row>
    <row r="2" spans="1:7" s="101" customFormat="1" ht="123.75" customHeight="1" thickBot="1" x14ac:dyDescent="0.3">
      <c r="A2" s="333" t="s">
        <v>56</v>
      </c>
      <c r="B2" s="337" t="s">
        <v>255</v>
      </c>
      <c r="C2" s="335" t="s">
        <v>301</v>
      </c>
      <c r="D2" s="335" t="s">
        <v>302</v>
      </c>
      <c r="E2" s="336" t="s">
        <v>303</v>
      </c>
    </row>
    <row r="3" spans="1:7" s="102" customFormat="1" x14ac:dyDescent="0.25">
      <c r="A3" s="544" t="s">
        <v>29</v>
      </c>
      <c r="B3" s="539">
        <v>94</v>
      </c>
      <c r="C3" s="361">
        <f>(B3/B23)</f>
        <v>0.2756598240469208</v>
      </c>
      <c r="D3" s="362">
        <v>2530493.4700000002</v>
      </c>
      <c r="E3" s="363">
        <f>(D3/D23)</f>
        <v>0.2277892927815364</v>
      </c>
    </row>
    <row r="4" spans="1:7" s="102" customFormat="1" x14ac:dyDescent="0.25">
      <c r="A4" s="545" t="s">
        <v>39</v>
      </c>
      <c r="B4" s="540">
        <v>38</v>
      </c>
      <c r="C4" s="358">
        <f>(B4/B23)</f>
        <v>0.11143695014662756</v>
      </c>
      <c r="D4" s="359">
        <v>1443788.03</v>
      </c>
      <c r="E4" s="360">
        <f>(D4/D23)</f>
        <v>0.12996652952443605</v>
      </c>
    </row>
    <row r="5" spans="1:7" s="102" customFormat="1" x14ac:dyDescent="0.25">
      <c r="A5" s="488" t="s">
        <v>37</v>
      </c>
      <c r="B5" s="540">
        <v>8</v>
      </c>
      <c r="C5" s="358">
        <f>(B5/B23)</f>
        <v>2.3460410557184751E-2</v>
      </c>
      <c r="D5" s="359">
        <v>161869.71</v>
      </c>
      <c r="E5" s="360">
        <f>(D5/(D23))</f>
        <v>1.4571144798746461E-2</v>
      </c>
    </row>
    <row r="6" spans="1:7" s="102" customFormat="1" x14ac:dyDescent="0.25">
      <c r="A6" s="488" t="s">
        <v>42</v>
      </c>
      <c r="B6" s="540">
        <v>2</v>
      </c>
      <c r="C6" s="358">
        <f>(B6/B23)</f>
        <v>5.8651026392961877E-3</v>
      </c>
      <c r="D6" s="359">
        <v>58255.34</v>
      </c>
      <c r="E6" s="360">
        <f>(D6/D23)</f>
        <v>5.2440138086378646E-3</v>
      </c>
    </row>
    <row r="7" spans="1:7" s="102" customFormat="1" x14ac:dyDescent="0.25">
      <c r="A7" s="488" t="s">
        <v>181</v>
      </c>
      <c r="B7" s="540">
        <v>3</v>
      </c>
      <c r="C7" s="358">
        <f>(B7/B23)</f>
        <v>8.7976539589442824E-3</v>
      </c>
      <c r="D7" s="359">
        <v>262735.48</v>
      </c>
      <c r="E7" s="360">
        <f>(D7/D23)</f>
        <v>2.3650853040066328E-2</v>
      </c>
    </row>
    <row r="8" spans="1:7" s="102" customFormat="1" x14ac:dyDescent="0.25">
      <c r="A8" s="488" t="s">
        <v>35</v>
      </c>
      <c r="B8" s="540">
        <v>9</v>
      </c>
      <c r="C8" s="358">
        <f>(B8/B23)</f>
        <v>2.6392961876832845E-2</v>
      </c>
      <c r="D8" s="359">
        <v>128163.73</v>
      </c>
      <c r="E8" s="360">
        <f>(D8/(D23))</f>
        <v>1.1537008794155781E-2</v>
      </c>
    </row>
    <row r="9" spans="1:7" s="102" customFormat="1" x14ac:dyDescent="0.25">
      <c r="A9" s="488" t="s">
        <v>261</v>
      </c>
      <c r="B9" s="540">
        <v>12</v>
      </c>
      <c r="C9" s="358">
        <f>(B9/B23)</f>
        <v>3.519061583577713E-2</v>
      </c>
      <c r="D9" s="359">
        <v>177209.18</v>
      </c>
      <c r="E9" s="360">
        <f>(D9/D23)</f>
        <v>1.5951969157460808E-2</v>
      </c>
    </row>
    <row r="10" spans="1:7" s="102" customFormat="1" x14ac:dyDescent="0.25">
      <c r="A10" s="488" t="s">
        <v>40</v>
      </c>
      <c r="B10" s="540">
        <v>2</v>
      </c>
      <c r="C10" s="358">
        <f>(B10/B23)</f>
        <v>5.8651026392961877E-3</v>
      </c>
      <c r="D10" s="359">
        <v>38750</v>
      </c>
      <c r="E10" s="360">
        <f>(D10/D23)</f>
        <v>3.4881872646304575E-3</v>
      </c>
    </row>
    <row r="11" spans="1:7" s="102" customFormat="1" x14ac:dyDescent="0.25">
      <c r="A11" s="545" t="s">
        <v>30</v>
      </c>
      <c r="B11" s="540">
        <v>67</v>
      </c>
      <c r="C11" s="358">
        <f>(B11/B23)</f>
        <v>0.19648093841642228</v>
      </c>
      <c r="D11" s="359">
        <v>2683348.59</v>
      </c>
      <c r="E11" s="360">
        <f>(D11/(D23))</f>
        <v>0.24154896459876371</v>
      </c>
    </row>
    <row r="12" spans="1:7" s="102" customFormat="1" x14ac:dyDescent="0.25">
      <c r="A12" s="488" t="s">
        <v>31</v>
      </c>
      <c r="B12" s="540">
        <v>36</v>
      </c>
      <c r="C12" s="358">
        <f>(B12/B23)</f>
        <v>0.10557184750733138</v>
      </c>
      <c r="D12" s="359">
        <v>983089.53</v>
      </c>
      <c r="E12" s="360">
        <f>(D12/D23)</f>
        <v>8.8495493639678499E-2</v>
      </c>
    </row>
    <row r="13" spans="1:7" s="102" customFormat="1" x14ac:dyDescent="0.25">
      <c r="A13" s="546" t="s">
        <v>58</v>
      </c>
      <c r="B13" s="540">
        <v>34</v>
      </c>
      <c r="C13" s="358">
        <f>(B13/B23)</f>
        <v>9.9706744868035185E-2</v>
      </c>
      <c r="D13" s="359">
        <v>1737634.33</v>
      </c>
      <c r="E13" s="360">
        <f>(D13/D23)</f>
        <v>0.1564179081416949</v>
      </c>
    </row>
    <row r="14" spans="1:7" s="102" customFormat="1" x14ac:dyDescent="0.25">
      <c r="A14" s="488" t="s">
        <v>593</v>
      </c>
      <c r="B14" s="540">
        <v>5</v>
      </c>
      <c r="C14" s="358">
        <f>(B14/B23)</f>
        <v>1.466275659824047E-2</v>
      </c>
      <c r="D14" s="359">
        <v>54956</v>
      </c>
      <c r="E14" s="360">
        <f>(D14/(D23))</f>
        <v>4.9470146920008104E-3</v>
      </c>
    </row>
    <row r="15" spans="1:7" s="102" customFormat="1" x14ac:dyDescent="0.25">
      <c r="A15" s="488" t="s">
        <v>33</v>
      </c>
      <c r="B15" s="540">
        <v>4</v>
      </c>
      <c r="C15" s="358">
        <f>(B15/B23)</f>
        <v>1.1730205278592375E-2</v>
      </c>
      <c r="D15" s="359">
        <v>115076.17</v>
      </c>
      <c r="E15" s="360">
        <f>(D15/D23)</f>
        <v>1.0358896275005148E-2</v>
      </c>
    </row>
    <row r="16" spans="1:7" s="102" customFormat="1" x14ac:dyDescent="0.25">
      <c r="A16" s="546" t="s">
        <v>38</v>
      </c>
      <c r="B16" s="540">
        <v>11</v>
      </c>
      <c r="C16" s="358">
        <f>(B16/B23)</f>
        <v>3.2258064516129031E-2</v>
      </c>
      <c r="D16" s="359">
        <v>72860.479999999996</v>
      </c>
      <c r="E16" s="360">
        <f>(D16/D23)</f>
        <v>6.5587354433770872E-3</v>
      </c>
    </row>
    <row r="17" spans="1:5" s="102" customFormat="1" x14ac:dyDescent="0.25">
      <c r="A17" s="545" t="s">
        <v>44</v>
      </c>
      <c r="B17" s="540">
        <v>14</v>
      </c>
      <c r="C17" s="358">
        <f>(B17/B23)</f>
        <v>4.1055718475073312E-2</v>
      </c>
      <c r="D17" s="359">
        <v>637887.67000000004</v>
      </c>
      <c r="E17" s="360">
        <f>(D17/(D23))</f>
        <v>5.7421203787323766E-2</v>
      </c>
    </row>
    <row r="18" spans="1:5" s="102" customFormat="1" x14ac:dyDescent="0.25">
      <c r="A18" s="488" t="s">
        <v>49</v>
      </c>
      <c r="B18" s="540">
        <v>0</v>
      </c>
      <c r="C18" s="358">
        <f>(B18/B23)</f>
        <v>0</v>
      </c>
      <c r="D18" s="359">
        <v>0</v>
      </c>
      <c r="E18" s="360">
        <f>(D18/D23)</f>
        <v>0</v>
      </c>
    </row>
    <row r="19" spans="1:5" s="102" customFormat="1" x14ac:dyDescent="0.25">
      <c r="A19" s="488" t="s">
        <v>52</v>
      </c>
      <c r="B19" s="540">
        <v>0</v>
      </c>
      <c r="C19" s="358">
        <f>(B19/B23)</f>
        <v>0</v>
      </c>
      <c r="D19" s="359">
        <v>0</v>
      </c>
      <c r="E19" s="360">
        <v>0</v>
      </c>
    </row>
    <row r="20" spans="1:5" s="102" customFormat="1" x14ac:dyDescent="0.25">
      <c r="A20" s="488" t="s">
        <v>262</v>
      </c>
      <c r="B20" s="540">
        <v>0</v>
      </c>
      <c r="C20" s="358">
        <f>(B20/B23)</f>
        <v>0</v>
      </c>
      <c r="D20" s="359">
        <v>0</v>
      </c>
      <c r="E20" s="360">
        <v>0</v>
      </c>
    </row>
    <row r="21" spans="1:5" s="102" customFormat="1" x14ac:dyDescent="0.25">
      <c r="A21" s="488" t="s">
        <v>41</v>
      </c>
      <c r="B21" s="540">
        <v>1</v>
      </c>
      <c r="C21" s="358">
        <f>(B21/B23)</f>
        <v>2.9325513196480938E-3</v>
      </c>
      <c r="D21" s="359">
        <v>21310.5</v>
      </c>
      <c r="E21" s="360">
        <f>(D21/D23)</f>
        <v>1.9183229600750287E-3</v>
      </c>
    </row>
    <row r="22" spans="1:5" s="102" customFormat="1" ht="16.5" thickBot="1" x14ac:dyDescent="0.3">
      <c r="A22" s="547" t="s">
        <v>48</v>
      </c>
      <c r="B22" s="541">
        <v>1</v>
      </c>
      <c r="C22" s="364">
        <f>(B22/B23)</f>
        <v>2.9325513196480938E-3</v>
      </c>
      <c r="D22" s="365">
        <v>1493.72</v>
      </c>
      <c r="E22" s="366">
        <f>(D22/D23)</f>
        <v>1.3446129241093696E-4</v>
      </c>
    </row>
    <row r="23" spans="1:5" ht="16.5" thickBot="1" x14ac:dyDescent="0.3">
      <c r="A23" s="543" t="s">
        <v>21</v>
      </c>
      <c r="B23" s="542">
        <f>SUM(B3:B22)</f>
        <v>341</v>
      </c>
      <c r="C23" s="367">
        <f>SUM(C3:C22)</f>
        <v>0.99999999999999989</v>
      </c>
      <c r="D23" s="368">
        <f>SUM(D3:D22)</f>
        <v>11108921.93</v>
      </c>
      <c r="E23" s="369">
        <f>SUM(E3:E22)</f>
        <v>0.99999999999999978</v>
      </c>
    </row>
    <row r="24" spans="1:5" x14ac:dyDescent="0.2">
      <c r="E24" s="104" t="s">
        <v>304</v>
      </c>
    </row>
    <row r="25" spans="1:5" ht="25.5" customHeight="1" x14ac:dyDescent="0.25">
      <c r="A25" s="1031" t="s">
        <v>537</v>
      </c>
      <c r="B25" s="1031"/>
      <c r="C25" s="1031"/>
      <c r="D25" s="1031"/>
    </row>
    <row r="26" spans="1:5" x14ac:dyDescent="0.25">
      <c r="A26" s="105"/>
    </row>
  </sheetData>
  <mergeCells count="2">
    <mergeCell ref="A25:D25"/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workbookViewId="0">
      <selection activeCell="J4" sqref="J4"/>
    </sheetView>
  </sheetViews>
  <sheetFormatPr defaultRowHeight="15" x14ac:dyDescent="0.25"/>
  <cols>
    <col min="1" max="1" width="13.85546875" style="42" customWidth="1"/>
    <col min="2" max="9" width="9.140625" style="42"/>
    <col min="11" max="11" width="11.140625" customWidth="1"/>
  </cols>
  <sheetData>
    <row r="1" spans="1:14" ht="21" customHeight="1" x14ac:dyDescent="0.25">
      <c r="A1" s="445" t="s">
        <v>122</v>
      </c>
      <c r="B1" s="864" t="s">
        <v>123</v>
      </c>
      <c r="C1" s="864"/>
      <c r="D1" s="864"/>
      <c r="E1" s="864"/>
      <c r="F1" s="864"/>
      <c r="G1" s="864"/>
      <c r="H1" s="864"/>
      <c r="I1" s="445"/>
      <c r="J1" s="434"/>
      <c r="K1" s="434"/>
    </row>
    <row r="2" spans="1:14" ht="19.5" customHeight="1" x14ac:dyDescent="0.25">
      <c r="A2" s="445" t="s">
        <v>124</v>
      </c>
      <c r="B2" s="445" t="s">
        <v>132</v>
      </c>
      <c r="C2" s="445"/>
      <c r="D2" s="445"/>
      <c r="E2" s="445"/>
      <c r="F2" s="445"/>
      <c r="G2" s="445"/>
      <c r="H2" s="445"/>
      <c r="I2" s="445"/>
      <c r="J2" s="434"/>
      <c r="K2" s="434"/>
    </row>
    <row r="3" spans="1:14" ht="21" customHeight="1" x14ac:dyDescent="0.25">
      <c r="A3" s="445" t="s">
        <v>125</v>
      </c>
      <c r="B3" s="445" t="s">
        <v>133</v>
      </c>
      <c r="C3" s="445"/>
      <c r="D3" s="445"/>
      <c r="E3" s="445"/>
      <c r="F3" s="445"/>
      <c r="G3" s="445"/>
      <c r="H3" s="445"/>
      <c r="I3" s="445"/>
      <c r="J3" s="434"/>
      <c r="K3" s="434"/>
    </row>
    <row r="4" spans="1:14" ht="18" customHeight="1" x14ac:dyDescent="0.25">
      <c r="A4" s="445" t="s">
        <v>126</v>
      </c>
      <c r="B4" s="917" t="s">
        <v>137</v>
      </c>
      <c r="C4" s="917"/>
      <c r="D4" s="917"/>
      <c r="E4" s="917"/>
      <c r="F4" s="917"/>
      <c r="G4" s="917"/>
      <c r="H4" s="917"/>
      <c r="I4" s="917"/>
      <c r="J4" s="434"/>
      <c r="K4" s="434"/>
      <c r="L4" s="121"/>
      <c r="M4" s="121"/>
      <c r="N4" s="121"/>
    </row>
    <row r="5" spans="1:14" ht="19.5" customHeight="1" x14ac:dyDescent="0.25">
      <c r="A5" s="445" t="s">
        <v>127</v>
      </c>
      <c r="B5" s="917" t="s">
        <v>138</v>
      </c>
      <c r="C5" s="917"/>
      <c r="D5" s="917"/>
      <c r="E5" s="917"/>
      <c r="F5" s="917"/>
      <c r="G5" s="917"/>
      <c r="H5" s="917"/>
      <c r="I5" s="917"/>
      <c r="J5" s="434"/>
      <c r="K5" s="434"/>
      <c r="L5" s="121"/>
      <c r="M5" s="121"/>
      <c r="N5" s="121"/>
    </row>
    <row r="6" spans="1:14" ht="19.5" customHeight="1" x14ac:dyDescent="0.25">
      <c r="A6" s="445" t="s">
        <v>128</v>
      </c>
      <c r="B6" s="445" t="s">
        <v>644</v>
      </c>
      <c r="C6" s="445"/>
      <c r="D6" s="445"/>
      <c r="E6" s="445"/>
      <c r="F6" s="445"/>
      <c r="G6" s="445"/>
      <c r="H6" s="445"/>
      <c r="I6" s="445"/>
      <c r="J6" s="434"/>
      <c r="K6" s="434"/>
      <c r="L6" s="121"/>
      <c r="M6" s="121"/>
      <c r="N6" s="121"/>
    </row>
    <row r="7" spans="1:14" ht="44.25" customHeight="1" x14ac:dyDescent="0.25">
      <c r="A7" s="445" t="s">
        <v>129</v>
      </c>
      <c r="B7" s="919" t="s">
        <v>134</v>
      </c>
      <c r="C7" s="919"/>
      <c r="D7" s="919"/>
      <c r="E7" s="919"/>
      <c r="F7" s="919"/>
      <c r="G7" s="919"/>
      <c r="H7" s="919"/>
      <c r="I7" s="919"/>
      <c r="J7" s="446"/>
      <c r="K7" s="446"/>
      <c r="L7" s="121"/>
      <c r="M7" s="121"/>
      <c r="N7" s="121"/>
    </row>
    <row r="8" spans="1:14" ht="47.25" customHeight="1" x14ac:dyDescent="0.25">
      <c r="A8" s="445" t="s">
        <v>130</v>
      </c>
      <c r="B8" s="919" t="s">
        <v>135</v>
      </c>
      <c r="C8" s="919"/>
      <c r="D8" s="919"/>
      <c r="E8" s="919"/>
      <c r="F8" s="919"/>
      <c r="G8" s="919"/>
      <c r="H8" s="919"/>
      <c r="I8" s="919"/>
      <c r="J8" s="446"/>
      <c r="K8" s="446"/>
      <c r="L8" s="121"/>
      <c r="M8" s="121"/>
      <c r="N8" s="121"/>
    </row>
    <row r="9" spans="1:14" ht="30.75" customHeight="1" x14ac:dyDescent="0.25">
      <c r="A9" s="445" t="s">
        <v>131</v>
      </c>
      <c r="B9" s="914" t="s">
        <v>136</v>
      </c>
      <c r="C9" s="914"/>
      <c r="D9" s="914"/>
      <c r="E9" s="914"/>
      <c r="F9" s="914"/>
      <c r="G9" s="914"/>
      <c r="H9" s="914"/>
      <c r="I9" s="914"/>
      <c r="J9" s="434"/>
      <c r="K9" s="434"/>
      <c r="L9" s="121"/>
      <c r="M9" s="121"/>
      <c r="N9" s="121"/>
    </row>
    <row r="10" spans="1:14" ht="24.75" customHeight="1" x14ac:dyDescent="0.25">
      <c r="A10" s="445" t="s">
        <v>600</v>
      </c>
      <c r="B10" s="920" t="s">
        <v>529</v>
      </c>
      <c r="C10" s="920"/>
      <c r="D10" s="920"/>
      <c r="E10" s="920"/>
      <c r="F10" s="920"/>
      <c r="G10" s="920"/>
      <c r="H10" s="920"/>
      <c r="I10" s="920"/>
      <c r="J10" s="438"/>
      <c r="K10" s="438"/>
    </row>
    <row r="11" spans="1:14" ht="21.75" customHeight="1" x14ac:dyDescent="0.25">
      <c r="A11" s="445" t="s">
        <v>515</v>
      </c>
      <c r="B11" s="911" t="s">
        <v>556</v>
      </c>
      <c r="C11" s="911"/>
      <c r="D11" s="911"/>
      <c r="E11" s="911"/>
      <c r="F11" s="911"/>
      <c r="G11" s="911"/>
      <c r="H11" s="911"/>
      <c r="I11" s="911"/>
      <c r="J11" s="450"/>
      <c r="K11" s="450"/>
      <c r="L11" s="121"/>
      <c r="M11" s="121"/>
      <c r="N11" s="121"/>
    </row>
    <row r="12" spans="1:14" ht="32.25" customHeight="1" x14ac:dyDescent="0.25">
      <c r="A12" s="445" t="s">
        <v>517</v>
      </c>
      <c r="B12" s="916" t="s">
        <v>557</v>
      </c>
      <c r="C12" s="916"/>
      <c r="D12" s="916"/>
      <c r="E12" s="916"/>
      <c r="F12" s="916"/>
      <c r="G12" s="916"/>
      <c r="H12" s="916"/>
      <c r="I12" s="916"/>
      <c r="J12" s="447"/>
      <c r="K12" s="447"/>
    </row>
    <row r="13" spans="1:14" ht="32.25" customHeight="1" x14ac:dyDescent="0.25">
      <c r="A13" s="445" t="s">
        <v>518</v>
      </c>
      <c r="B13" s="918" t="s">
        <v>558</v>
      </c>
      <c r="C13" s="918"/>
      <c r="D13" s="918"/>
      <c r="E13" s="918"/>
      <c r="F13" s="918"/>
      <c r="G13" s="918"/>
      <c r="H13" s="918"/>
      <c r="I13" s="918"/>
      <c r="J13" s="448"/>
      <c r="K13" s="448"/>
    </row>
    <row r="14" spans="1:14" ht="27.75" customHeight="1" x14ac:dyDescent="0.25">
      <c r="A14" s="445" t="s">
        <v>516</v>
      </c>
      <c r="B14" s="921" t="s">
        <v>559</v>
      </c>
      <c r="C14" s="921"/>
      <c r="D14" s="921"/>
      <c r="E14" s="921"/>
      <c r="F14" s="921"/>
      <c r="G14" s="921"/>
      <c r="H14" s="921"/>
      <c r="I14" s="921"/>
      <c r="J14" s="444"/>
      <c r="K14" s="444"/>
    </row>
    <row r="15" spans="1:14" ht="44.25" customHeight="1" x14ac:dyDescent="0.25">
      <c r="A15" s="445" t="s">
        <v>520</v>
      </c>
      <c r="B15" s="921" t="s">
        <v>560</v>
      </c>
      <c r="C15" s="921"/>
      <c r="D15" s="921"/>
      <c r="E15" s="921"/>
      <c r="F15" s="921"/>
      <c r="G15" s="921"/>
      <c r="H15" s="921"/>
      <c r="I15" s="921"/>
      <c r="J15" s="439"/>
      <c r="K15" s="439"/>
    </row>
    <row r="16" spans="1:14" ht="35.25" customHeight="1" x14ac:dyDescent="0.25">
      <c r="A16" s="445" t="s">
        <v>521</v>
      </c>
      <c r="B16" s="918" t="s">
        <v>561</v>
      </c>
      <c r="C16" s="918"/>
      <c r="D16" s="918"/>
      <c r="E16" s="918"/>
      <c r="F16" s="918"/>
      <c r="G16" s="918"/>
      <c r="H16" s="918"/>
      <c r="I16" s="918"/>
      <c r="J16" s="449"/>
      <c r="K16" s="449"/>
    </row>
    <row r="17" spans="1:11" ht="47.25" customHeight="1" x14ac:dyDescent="0.25">
      <c r="A17" s="445" t="s">
        <v>522</v>
      </c>
      <c r="B17" s="921" t="s">
        <v>562</v>
      </c>
      <c r="C17" s="921"/>
      <c r="D17" s="921"/>
      <c r="E17" s="921"/>
      <c r="F17" s="921"/>
      <c r="G17" s="921"/>
      <c r="H17" s="921"/>
      <c r="I17" s="921"/>
      <c r="J17" s="439"/>
      <c r="K17" s="439"/>
    </row>
    <row r="18" spans="1:11" ht="37.5" customHeight="1" x14ac:dyDescent="0.25">
      <c r="A18" s="445" t="s">
        <v>523</v>
      </c>
      <c r="B18" s="921" t="s">
        <v>564</v>
      </c>
      <c r="C18" s="921"/>
      <c r="D18" s="921"/>
      <c r="E18" s="921"/>
      <c r="F18" s="921"/>
      <c r="G18" s="921"/>
      <c r="H18" s="921"/>
      <c r="I18" s="921"/>
      <c r="J18" s="439"/>
      <c r="K18" s="439"/>
    </row>
    <row r="19" spans="1:11" ht="50.25" customHeight="1" x14ac:dyDescent="0.25">
      <c r="A19" s="445" t="s">
        <v>525</v>
      </c>
      <c r="B19" s="916" t="s">
        <v>565</v>
      </c>
      <c r="C19" s="916"/>
      <c r="D19" s="916"/>
      <c r="E19" s="916"/>
      <c r="F19" s="916"/>
      <c r="G19" s="916"/>
      <c r="H19" s="916"/>
      <c r="I19" s="916"/>
      <c r="J19" s="440"/>
      <c r="K19" s="440"/>
    </row>
    <row r="20" spans="1:11" ht="36" customHeight="1" x14ac:dyDescent="0.25">
      <c r="A20" s="445" t="s">
        <v>526</v>
      </c>
      <c r="B20" s="913" t="s">
        <v>566</v>
      </c>
      <c r="C20" s="913"/>
      <c r="D20" s="913"/>
      <c r="E20" s="913"/>
      <c r="F20" s="913"/>
      <c r="G20" s="913"/>
      <c r="H20" s="913"/>
      <c r="I20" s="913"/>
      <c r="J20" s="441"/>
      <c r="K20" s="441"/>
    </row>
    <row r="21" spans="1:11" ht="22.5" customHeight="1" x14ac:dyDescent="0.25">
      <c r="A21" s="445" t="s">
        <v>527</v>
      </c>
      <c r="B21" s="912" t="s">
        <v>563</v>
      </c>
      <c r="C21" s="912"/>
      <c r="D21" s="912"/>
      <c r="E21" s="912"/>
      <c r="F21" s="912"/>
      <c r="G21" s="912"/>
      <c r="H21" s="912"/>
      <c r="I21" s="912"/>
      <c r="J21" s="442"/>
      <c r="K21" s="442"/>
    </row>
    <row r="22" spans="1:11" ht="21.75" customHeight="1" x14ac:dyDescent="0.25">
      <c r="A22" s="445" t="s">
        <v>544</v>
      </c>
      <c r="B22" s="913" t="s">
        <v>573</v>
      </c>
      <c r="C22" s="913"/>
      <c r="D22" s="913"/>
      <c r="E22" s="913"/>
      <c r="F22" s="913"/>
      <c r="G22" s="913"/>
      <c r="H22" s="913"/>
      <c r="I22" s="913"/>
      <c r="J22" s="441"/>
      <c r="K22" s="441"/>
    </row>
    <row r="23" spans="1:11" ht="19.5" customHeight="1" x14ac:dyDescent="0.25">
      <c r="A23" s="445" t="s">
        <v>545</v>
      </c>
      <c r="B23" s="913" t="s">
        <v>574</v>
      </c>
      <c r="C23" s="913"/>
      <c r="D23" s="913"/>
      <c r="E23" s="913"/>
      <c r="F23" s="913"/>
      <c r="G23" s="913"/>
      <c r="H23" s="913"/>
      <c r="I23" s="913"/>
      <c r="J23" s="441"/>
      <c r="K23" s="441"/>
    </row>
    <row r="24" spans="1:11" ht="21" customHeight="1" x14ac:dyDescent="0.25">
      <c r="A24" s="445" t="s">
        <v>528</v>
      </c>
      <c r="B24" s="913" t="s">
        <v>575</v>
      </c>
      <c r="C24" s="913"/>
      <c r="D24" s="913"/>
      <c r="E24" s="913"/>
      <c r="F24" s="913"/>
      <c r="G24" s="913"/>
      <c r="H24" s="913"/>
      <c r="I24" s="913"/>
      <c r="J24" s="441"/>
      <c r="K24" s="441"/>
    </row>
    <row r="25" spans="1:11" ht="21.75" customHeight="1" x14ac:dyDescent="0.25">
      <c r="A25" s="445" t="s">
        <v>546</v>
      </c>
      <c r="B25" s="915" t="s">
        <v>576</v>
      </c>
      <c r="C25" s="915"/>
      <c r="D25" s="915"/>
      <c r="E25" s="915"/>
      <c r="F25" s="915"/>
      <c r="G25" s="915"/>
      <c r="H25" s="915"/>
      <c r="I25" s="915"/>
      <c r="J25" s="452"/>
      <c r="K25" s="452"/>
    </row>
    <row r="26" spans="1:11" ht="20.25" customHeight="1" x14ac:dyDescent="0.25">
      <c r="A26" s="445" t="s">
        <v>547</v>
      </c>
      <c r="B26" s="911" t="s">
        <v>567</v>
      </c>
      <c r="C26" s="911"/>
      <c r="D26" s="911"/>
      <c r="E26" s="911"/>
      <c r="F26" s="911"/>
      <c r="G26" s="911"/>
      <c r="H26" s="911"/>
      <c r="I26" s="911"/>
      <c r="J26" s="443"/>
      <c r="K26" s="443"/>
    </row>
    <row r="27" spans="1:11" ht="21.75" customHeight="1" x14ac:dyDescent="0.25">
      <c r="A27" s="445" t="s">
        <v>548</v>
      </c>
      <c r="B27" s="911" t="s">
        <v>568</v>
      </c>
      <c r="C27" s="911"/>
      <c r="D27" s="911"/>
      <c r="E27" s="911"/>
      <c r="F27" s="911"/>
      <c r="G27" s="911"/>
      <c r="H27" s="911"/>
      <c r="I27" s="911"/>
      <c r="J27" s="443"/>
      <c r="K27" s="443"/>
    </row>
    <row r="28" spans="1:11" ht="21" customHeight="1" x14ac:dyDescent="0.25">
      <c r="A28" s="445" t="s">
        <v>549</v>
      </c>
      <c r="B28" s="911" t="s">
        <v>569</v>
      </c>
      <c r="C28" s="911"/>
      <c r="D28" s="911"/>
      <c r="E28" s="911"/>
      <c r="F28" s="911"/>
      <c r="G28" s="911"/>
      <c r="H28" s="911"/>
      <c r="I28" s="911"/>
      <c r="J28" s="443"/>
      <c r="K28" s="443"/>
    </row>
    <row r="29" spans="1:11" ht="35.25" customHeight="1" x14ac:dyDescent="0.25">
      <c r="A29" s="445" t="s">
        <v>550</v>
      </c>
      <c r="B29" s="913" t="s">
        <v>577</v>
      </c>
      <c r="C29" s="913"/>
      <c r="D29" s="913"/>
      <c r="E29" s="913"/>
      <c r="F29" s="913"/>
      <c r="G29" s="913"/>
      <c r="H29" s="913"/>
      <c r="I29" s="913"/>
      <c r="J29" s="441"/>
      <c r="K29" s="441"/>
    </row>
    <row r="30" spans="1:11" ht="36.75" customHeight="1" x14ac:dyDescent="0.25">
      <c r="A30" s="445" t="s">
        <v>551</v>
      </c>
      <c r="B30" s="914" t="s">
        <v>570</v>
      </c>
      <c r="C30" s="914"/>
      <c r="D30" s="914"/>
      <c r="E30" s="914"/>
      <c r="F30" s="914"/>
      <c r="G30" s="914"/>
      <c r="H30" s="914"/>
      <c r="I30" s="914"/>
      <c r="J30" s="450"/>
      <c r="K30" s="450"/>
    </row>
    <row r="31" spans="1:11" ht="34.5" customHeight="1" x14ac:dyDescent="0.25">
      <c r="A31" s="445" t="s">
        <v>552</v>
      </c>
      <c r="B31" s="914" t="s">
        <v>571</v>
      </c>
      <c r="C31" s="914"/>
      <c r="D31" s="914"/>
      <c r="E31" s="914"/>
      <c r="F31" s="914"/>
      <c r="G31" s="914"/>
      <c r="H31" s="914"/>
      <c r="I31" s="914"/>
      <c r="J31" s="450"/>
      <c r="K31" s="450"/>
    </row>
    <row r="32" spans="1:11" ht="15" customHeight="1" x14ac:dyDescent="0.25">
      <c r="A32" s="445" t="s">
        <v>553</v>
      </c>
      <c r="B32" s="910" t="s">
        <v>572</v>
      </c>
      <c r="C32" s="910"/>
      <c r="D32" s="910"/>
      <c r="E32" s="910"/>
      <c r="F32" s="910"/>
      <c r="G32" s="910"/>
      <c r="H32" s="910"/>
      <c r="I32" s="910"/>
      <c r="J32" s="451"/>
      <c r="K32" s="451"/>
    </row>
    <row r="33" spans="1:11" x14ac:dyDescent="0.25">
      <c r="A33" s="445"/>
      <c r="B33" s="445"/>
      <c r="C33" s="445"/>
      <c r="D33" s="445"/>
      <c r="E33" s="445"/>
      <c r="F33" s="445"/>
      <c r="G33" s="445"/>
      <c r="H33" s="445"/>
      <c r="I33" s="445"/>
      <c r="J33" s="434"/>
      <c r="K33" s="434"/>
    </row>
    <row r="34" spans="1:11" x14ac:dyDescent="0.25">
      <c r="A34" s="445" t="s">
        <v>619</v>
      </c>
      <c r="B34" s="445" t="s">
        <v>620</v>
      </c>
      <c r="C34" s="445"/>
      <c r="D34" s="445"/>
      <c r="E34" s="445"/>
      <c r="F34" s="445"/>
      <c r="G34" s="445"/>
      <c r="H34" s="445"/>
      <c r="I34" s="445"/>
      <c r="J34" s="434"/>
      <c r="K34" s="434"/>
    </row>
    <row r="35" spans="1:11" x14ac:dyDescent="0.25">
      <c r="A35" s="445" t="s">
        <v>621</v>
      </c>
      <c r="B35" s="445" t="s">
        <v>622</v>
      </c>
      <c r="C35" s="445"/>
      <c r="D35" s="445"/>
      <c r="E35" s="445"/>
      <c r="F35" s="445"/>
      <c r="G35" s="445"/>
      <c r="H35" s="445"/>
      <c r="I35" s="445"/>
      <c r="J35" s="434"/>
      <c r="K35" s="434"/>
    </row>
    <row r="36" spans="1:11" x14ac:dyDescent="0.25">
      <c r="A36" s="445" t="s">
        <v>623</v>
      </c>
      <c r="B36" s="445" t="s">
        <v>624</v>
      </c>
      <c r="C36" s="445"/>
      <c r="D36" s="445"/>
      <c r="E36" s="445"/>
      <c r="F36" s="445"/>
      <c r="G36" s="445"/>
      <c r="H36" s="445"/>
      <c r="I36" s="445"/>
      <c r="J36" s="434"/>
      <c r="K36" s="434"/>
    </row>
    <row r="37" spans="1:11" x14ac:dyDescent="0.25">
      <c r="A37" s="445" t="s">
        <v>631</v>
      </c>
      <c r="B37" s="445" t="s">
        <v>640</v>
      </c>
      <c r="C37" s="445"/>
      <c r="D37" s="445"/>
      <c r="E37" s="445"/>
      <c r="F37" s="445"/>
      <c r="G37" s="445"/>
      <c r="H37" s="445"/>
      <c r="I37" s="445"/>
      <c r="J37" s="434"/>
      <c r="K37" s="434"/>
    </row>
    <row r="38" spans="1:11" x14ac:dyDescent="0.25">
      <c r="A38" s="445" t="s">
        <v>639</v>
      </c>
      <c r="B38" s="445" t="s">
        <v>641</v>
      </c>
      <c r="C38" s="445"/>
      <c r="D38" s="445"/>
      <c r="E38" s="445"/>
      <c r="F38" s="445"/>
      <c r="G38" s="445"/>
      <c r="H38" s="445"/>
      <c r="I38" s="445"/>
      <c r="J38" s="434"/>
      <c r="K38" s="434"/>
    </row>
    <row r="39" spans="1:11" x14ac:dyDescent="0.25">
      <c r="A39" s="445" t="s">
        <v>638</v>
      </c>
      <c r="B39" s="445" t="s">
        <v>642</v>
      </c>
      <c r="C39" s="445"/>
      <c r="D39" s="445"/>
      <c r="E39" s="445"/>
      <c r="F39" s="445"/>
      <c r="G39" s="445"/>
      <c r="H39" s="445"/>
      <c r="I39" s="445"/>
      <c r="J39" s="434"/>
      <c r="K39" s="434"/>
    </row>
    <row r="40" spans="1:11" x14ac:dyDescent="0.25">
      <c r="A40" s="445"/>
      <c r="B40" s="445"/>
      <c r="C40" s="445"/>
      <c r="D40" s="445"/>
      <c r="E40" s="445"/>
      <c r="F40" s="445"/>
      <c r="G40" s="445"/>
      <c r="H40" s="445"/>
      <c r="I40" s="445"/>
      <c r="J40" s="434"/>
      <c r="K40" s="434"/>
    </row>
    <row r="41" spans="1:11" x14ac:dyDescent="0.25">
      <c r="A41" s="445"/>
      <c r="B41" s="445"/>
      <c r="C41" s="445"/>
      <c r="D41" s="445"/>
      <c r="E41" s="445"/>
      <c r="F41" s="445"/>
      <c r="G41" s="445"/>
      <c r="H41" s="445"/>
      <c r="I41" s="445"/>
      <c r="J41" s="434"/>
      <c r="K41" s="434"/>
    </row>
    <row r="42" spans="1:11" x14ac:dyDescent="0.25">
      <c r="A42" s="445"/>
      <c r="B42" s="445"/>
      <c r="C42" s="445"/>
      <c r="D42" s="445"/>
      <c r="E42" s="445"/>
      <c r="F42" s="445"/>
      <c r="G42" s="445"/>
      <c r="H42" s="445"/>
      <c r="I42" s="445"/>
      <c r="J42" s="434"/>
      <c r="K42" s="434"/>
    </row>
    <row r="43" spans="1:11" x14ac:dyDescent="0.25">
      <c r="A43" s="445"/>
      <c r="B43" s="445"/>
      <c r="C43" s="445"/>
      <c r="D43" s="445"/>
      <c r="E43" s="445"/>
      <c r="F43" s="445"/>
      <c r="G43" s="445"/>
      <c r="H43" s="445"/>
      <c r="I43" s="445"/>
      <c r="J43" s="434"/>
      <c r="K43" s="434"/>
    </row>
    <row r="44" spans="1:11" x14ac:dyDescent="0.25">
      <c r="A44" s="445"/>
      <c r="B44" s="445"/>
      <c r="C44" s="445"/>
      <c r="D44" s="445"/>
      <c r="E44" s="445"/>
      <c r="F44" s="445"/>
      <c r="G44" s="445"/>
      <c r="H44" s="445"/>
      <c r="I44" s="445"/>
      <c r="J44" s="434"/>
      <c r="K44" s="434"/>
    </row>
    <row r="45" spans="1:11" x14ac:dyDescent="0.25">
      <c r="A45" s="445"/>
      <c r="B45" s="445"/>
      <c r="C45" s="445"/>
      <c r="D45" s="445"/>
      <c r="E45" s="445"/>
      <c r="F45" s="445"/>
      <c r="G45" s="445"/>
      <c r="H45" s="445"/>
      <c r="I45" s="445"/>
      <c r="J45" s="434"/>
      <c r="K45" s="434"/>
    </row>
    <row r="46" spans="1:11" x14ac:dyDescent="0.25">
      <c r="A46" s="445"/>
      <c r="B46" s="445"/>
      <c r="C46" s="445"/>
      <c r="D46" s="445"/>
      <c r="E46" s="445"/>
      <c r="F46" s="445"/>
      <c r="G46" s="445"/>
      <c r="H46" s="445"/>
      <c r="I46" s="445"/>
      <c r="J46" s="434"/>
      <c r="K46" s="434"/>
    </row>
    <row r="47" spans="1:11" x14ac:dyDescent="0.25">
      <c r="A47" s="445"/>
      <c r="B47" s="445"/>
      <c r="C47" s="445"/>
      <c r="D47" s="445"/>
      <c r="E47" s="445"/>
      <c r="F47" s="445"/>
      <c r="G47" s="445"/>
      <c r="H47" s="445"/>
      <c r="I47" s="445"/>
      <c r="J47" s="434"/>
      <c r="K47" s="434"/>
    </row>
    <row r="48" spans="1:11" x14ac:dyDescent="0.25">
      <c r="A48" s="445"/>
      <c r="B48" s="445"/>
      <c r="C48" s="445"/>
      <c r="D48" s="445"/>
      <c r="E48" s="445"/>
      <c r="F48" s="445"/>
      <c r="G48" s="445"/>
      <c r="H48" s="445"/>
      <c r="I48" s="445"/>
      <c r="J48" s="434"/>
      <c r="K48" s="434"/>
    </row>
    <row r="49" spans="1:11" x14ac:dyDescent="0.25">
      <c r="A49" s="445"/>
      <c r="B49" s="445"/>
      <c r="C49" s="445"/>
      <c r="D49" s="445"/>
      <c r="E49" s="445"/>
      <c r="F49" s="445"/>
      <c r="G49" s="445"/>
      <c r="H49" s="445"/>
      <c r="I49" s="445"/>
      <c r="J49" s="434"/>
      <c r="K49" s="434"/>
    </row>
    <row r="50" spans="1:11" x14ac:dyDescent="0.25">
      <c r="A50" s="445"/>
      <c r="B50" s="445"/>
      <c r="C50" s="445"/>
      <c r="D50" s="445"/>
      <c r="E50" s="445"/>
      <c r="F50" s="445"/>
      <c r="G50" s="445"/>
      <c r="H50" s="445"/>
      <c r="I50" s="445"/>
      <c r="J50" s="434"/>
      <c r="K50" s="434"/>
    </row>
  </sheetData>
  <mergeCells count="28">
    <mergeCell ref="B19:I19"/>
    <mergeCell ref="B20:I20"/>
    <mergeCell ref="B4:I4"/>
    <mergeCell ref="B5:I5"/>
    <mergeCell ref="B9:I9"/>
    <mergeCell ref="B12:I12"/>
    <mergeCell ref="B13:I13"/>
    <mergeCell ref="B7:I7"/>
    <mergeCell ref="B8:I8"/>
    <mergeCell ref="B11:I11"/>
    <mergeCell ref="B10:I10"/>
    <mergeCell ref="B14:I14"/>
    <mergeCell ref="B15:I15"/>
    <mergeCell ref="B16:I16"/>
    <mergeCell ref="B17:I17"/>
    <mergeCell ref="B18:I18"/>
    <mergeCell ref="B32:I32"/>
    <mergeCell ref="B28:I28"/>
    <mergeCell ref="B27:I27"/>
    <mergeCell ref="B26:I26"/>
    <mergeCell ref="B21:I21"/>
    <mergeCell ref="B29:I29"/>
    <mergeCell ref="B31:I31"/>
    <mergeCell ref="B22:I22"/>
    <mergeCell ref="B23:I23"/>
    <mergeCell ref="B24:I24"/>
    <mergeCell ref="B30:I30"/>
    <mergeCell ref="B25:I25"/>
  </mergeCells>
  <phoneticPr fontId="49" type="noConversion"/>
  <pageMargins left="0.70866141732283472" right="0.31496062992125984" top="0.74803149606299213" bottom="0.74803149606299213" header="0.31496062992125984" footer="0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12" sqref="A12"/>
    </sheetView>
  </sheetViews>
  <sheetFormatPr defaultRowHeight="15.75" x14ac:dyDescent="0.25"/>
  <cols>
    <col min="1" max="1" width="32.42578125" style="103" customWidth="1"/>
    <col min="2" max="2" width="24.5703125" style="103" customWidth="1"/>
    <col min="3" max="3" width="27.7109375" style="103" customWidth="1"/>
    <col min="4" max="4" width="18.140625" style="103" customWidth="1"/>
    <col min="5" max="5" width="16.42578125" style="103" customWidth="1"/>
    <col min="6" max="16384" width="9.140625" style="103"/>
  </cols>
  <sheetData>
    <row r="1" spans="1:7" s="100" customFormat="1" ht="75" customHeight="1" x14ac:dyDescent="0.25">
      <c r="A1" s="1033" t="s">
        <v>311</v>
      </c>
      <c r="B1" s="1033"/>
      <c r="C1" s="1033"/>
      <c r="D1" s="106"/>
      <c r="E1" s="106"/>
      <c r="F1" s="106"/>
      <c r="G1" s="106"/>
    </row>
    <row r="2" spans="1:7" ht="20.25" customHeight="1" thickBot="1" x14ac:dyDescent="0.3">
      <c r="A2" s="1036"/>
      <c r="B2" s="1036"/>
      <c r="C2" s="1036"/>
    </row>
    <row r="3" spans="1:7" ht="75.75" customHeight="1" thickBot="1" x14ac:dyDescent="0.3">
      <c r="A3" s="370" t="s">
        <v>524</v>
      </c>
      <c r="B3" s="371" t="s">
        <v>306</v>
      </c>
      <c r="C3" s="372" t="s">
        <v>307</v>
      </c>
    </row>
    <row r="4" spans="1:7" ht="21.75" customHeight="1" x14ac:dyDescent="0.25">
      <c r="A4" s="891" t="s">
        <v>647</v>
      </c>
      <c r="B4" s="895">
        <v>11108921.93</v>
      </c>
      <c r="C4" s="896">
        <f>B4/B9</f>
        <v>0.3674237407055565</v>
      </c>
    </row>
    <row r="5" spans="1:7" ht="20.25" customHeight="1" x14ac:dyDescent="0.25">
      <c r="A5" s="892" t="s">
        <v>648</v>
      </c>
      <c r="B5" s="897">
        <v>224791</v>
      </c>
      <c r="C5" s="898">
        <v>7.0000000000000001E-3</v>
      </c>
    </row>
    <row r="6" spans="1:7" ht="20.25" customHeight="1" x14ac:dyDescent="0.25">
      <c r="A6" s="893" t="s">
        <v>308</v>
      </c>
      <c r="B6" s="899">
        <v>7541150</v>
      </c>
      <c r="C6" s="898">
        <f>B6/B9</f>
        <v>0.24942092128121629</v>
      </c>
    </row>
    <row r="7" spans="1:7" ht="23.25" customHeight="1" x14ac:dyDescent="0.25">
      <c r="A7" s="892" t="s">
        <v>309</v>
      </c>
      <c r="B7" s="899">
        <v>9856170</v>
      </c>
      <c r="C7" s="898">
        <f>B7/B9</f>
        <v>0.3259894050250009</v>
      </c>
    </row>
    <row r="8" spans="1:7" ht="16.5" thickBot="1" x14ac:dyDescent="0.3">
      <c r="A8" s="894" t="s">
        <v>310</v>
      </c>
      <c r="B8" s="900">
        <v>1503600</v>
      </c>
      <c r="C8" s="901">
        <f>B8/B9</f>
        <v>4.9731048611741817E-2</v>
      </c>
    </row>
    <row r="9" spans="1:7" s="99" customFormat="1" ht="15.75" customHeight="1" thickBot="1" x14ac:dyDescent="0.3">
      <c r="A9" s="888" t="s">
        <v>21</v>
      </c>
      <c r="B9" s="889">
        <f>SUM(B4:B8)</f>
        <v>30234632.93</v>
      </c>
      <c r="C9" s="890">
        <f>SUM(C4:C8)</f>
        <v>0.99956511562351558</v>
      </c>
      <c r="D9" s="87"/>
    </row>
    <row r="10" spans="1:7" s="99" customFormat="1" ht="15.75" customHeight="1" x14ac:dyDescent="0.2">
      <c r="C10" s="104" t="s">
        <v>304</v>
      </c>
      <c r="D10" s="87"/>
    </row>
    <row r="11" spans="1:7" x14ac:dyDescent="0.25">
      <c r="A11" s="105" t="s">
        <v>533</v>
      </c>
    </row>
    <row r="12" spans="1:7" x14ac:dyDescent="0.25">
      <c r="A12" s="105" t="s">
        <v>649</v>
      </c>
    </row>
  </sheetData>
  <mergeCells count="2">
    <mergeCell ref="A1:C1"/>
    <mergeCell ref="A2:C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D11" sqref="D11"/>
    </sheetView>
  </sheetViews>
  <sheetFormatPr defaultRowHeight="15" x14ac:dyDescent="0.25"/>
  <cols>
    <col min="1" max="1" width="19.28515625" customWidth="1"/>
    <col min="2" max="2" width="14.5703125" customWidth="1"/>
    <col min="3" max="3" width="17.85546875" customWidth="1"/>
    <col min="4" max="4" width="17.42578125" customWidth="1"/>
    <col min="5" max="5" width="19.28515625" customWidth="1"/>
  </cols>
  <sheetData>
    <row r="1" spans="1:5" ht="82.5" customHeight="1" thickBot="1" x14ac:dyDescent="0.3">
      <c r="A1" s="1037" t="s">
        <v>316</v>
      </c>
      <c r="B1" s="1037"/>
      <c r="C1" s="1037"/>
      <c r="D1" s="1037"/>
      <c r="E1" s="1037"/>
    </row>
    <row r="2" spans="1:5" ht="114.75" customHeight="1" thickBot="1" x14ac:dyDescent="0.3">
      <c r="A2" s="549" t="s">
        <v>56</v>
      </c>
      <c r="B2" s="548" t="s">
        <v>312</v>
      </c>
      <c r="C2" s="371" t="s">
        <v>313</v>
      </c>
      <c r="D2" s="371" t="s">
        <v>314</v>
      </c>
      <c r="E2" s="372" t="s">
        <v>315</v>
      </c>
    </row>
    <row r="3" spans="1:5" x14ac:dyDescent="0.25">
      <c r="A3" s="555" t="s">
        <v>29</v>
      </c>
      <c r="B3" s="550">
        <v>38</v>
      </c>
      <c r="C3" s="384">
        <f>B3/$B$23</f>
        <v>0.25165562913907286</v>
      </c>
      <c r="D3" s="380">
        <v>1184780.4412050536</v>
      </c>
      <c r="E3" s="385">
        <f>D3/$D$23</f>
        <v>0.22124544260362927</v>
      </c>
    </row>
    <row r="4" spans="1:5" x14ac:dyDescent="0.25">
      <c r="A4" s="556" t="s">
        <v>39</v>
      </c>
      <c r="B4" s="551">
        <v>18</v>
      </c>
      <c r="C4" s="381">
        <f t="shared" ref="C4:C22" si="0">B4/$B$23</f>
        <v>0.11920529801324503</v>
      </c>
      <c r="D4" s="382">
        <v>413640.43</v>
      </c>
      <c r="E4" s="383">
        <f t="shared" ref="E4:E22" si="1">D4/$D$23</f>
        <v>7.724305435108593E-2</v>
      </c>
    </row>
    <row r="5" spans="1:5" x14ac:dyDescent="0.25">
      <c r="A5" s="557" t="s">
        <v>37</v>
      </c>
      <c r="B5" s="551">
        <v>1</v>
      </c>
      <c r="C5" s="381">
        <f t="shared" si="0"/>
        <v>6.6225165562913907E-3</v>
      </c>
      <c r="D5" s="382">
        <v>30795.13</v>
      </c>
      <c r="E5" s="383">
        <f t="shared" si="1"/>
        <v>5.7506706980716494E-3</v>
      </c>
    </row>
    <row r="6" spans="1:5" x14ac:dyDescent="0.25">
      <c r="A6" s="557" t="s">
        <v>42</v>
      </c>
      <c r="B6" s="551">
        <v>2</v>
      </c>
      <c r="C6" s="381">
        <f t="shared" si="0"/>
        <v>1.3245033112582781E-2</v>
      </c>
      <c r="D6" s="382">
        <v>28789</v>
      </c>
      <c r="E6" s="383">
        <f t="shared" si="1"/>
        <v>5.376046755665091E-3</v>
      </c>
    </row>
    <row r="7" spans="1:5" x14ac:dyDescent="0.25">
      <c r="A7" s="557" t="s">
        <v>181</v>
      </c>
      <c r="B7" s="551">
        <v>1</v>
      </c>
      <c r="C7" s="381">
        <f t="shared" si="0"/>
        <v>6.6225165562913907E-3</v>
      </c>
      <c r="D7" s="382">
        <v>73877.960000000006</v>
      </c>
      <c r="E7" s="383">
        <f t="shared" si="1"/>
        <v>1.3795941754599165E-2</v>
      </c>
    </row>
    <row r="8" spans="1:5" x14ac:dyDescent="0.25">
      <c r="A8" s="557" t="s">
        <v>35</v>
      </c>
      <c r="B8" s="551">
        <v>3</v>
      </c>
      <c r="C8" s="381">
        <f t="shared" si="0"/>
        <v>1.9867549668874173E-2</v>
      </c>
      <c r="D8" s="382">
        <v>58296</v>
      </c>
      <c r="E8" s="383">
        <f t="shared" si="1"/>
        <v>1.0886172554387166E-2</v>
      </c>
    </row>
    <row r="9" spans="1:5" ht="18.75" customHeight="1" x14ac:dyDescent="0.25">
      <c r="A9" s="557" t="s">
        <v>261</v>
      </c>
      <c r="B9" s="551">
        <v>7</v>
      </c>
      <c r="C9" s="381">
        <f t="shared" si="0"/>
        <v>4.6357615894039736E-2</v>
      </c>
      <c r="D9" s="382">
        <v>46846</v>
      </c>
      <c r="E9" s="383">
        <f t="shared" si="1"/>
        <v>8.7480039708182581E-3</v>
      </c>
    </row>
    <row r="10" spans="1:5" x14ac:dyDescent="0.25">
      <c r="A10" s="557" t="s">
        <v>40</v>
      </c>
      <c r="B10" s="551">
        <v>4</v>
      </c>
      <c r="C10" s="381">
        <f t="shared" si="0"/>
        <v>2.6490066225165563E-2</v>
      </c>
      <c r="D10" s="382">
        <v>113368.63</v>
      </c>
      <c r="E10" s="383">
        <f t="shared" si="1"/>
        <v>2.1170414238274898E-2</v>
      </c>
    </row>
    <row r="11" spans="1:5" x14ac:dyDescent="0.25">
      <c r="A11" s="556" t="s">
        <v>30</v>
      </c>
      <c r="B11" s="551">
        <v>23</v>
      </c>
      <c r="C11" s="381">
        <f t="shared" si="0"/>
        <v>0.15231788079470199</v>
      </c>
      <c r="D11" s="382">
        <v>2223537.88</v>
      </c>
      <c r="E11" s="383">
        <f t="shared" si="1"/>
        <v>0.4152226060603853</v>
      </c>
    </row>
    <row r="12" spans="1:5" x14ac:dyDescent="0.25">
      <c r="A12" s="557" t="s">
        <v>31</v>
      </c>
      <c r="B12" s="551">
        <v>13</v>
      </c>
      <c r="C12" s="381">
        <f t="shared" si="0"/>
        <v>8.6092715231788075E-2</v>
      </c>
      <c r="D12" s="382">
        <v>556812.15</v>
      </c>
      <c r="E12" s="383">
        <f t="shared" si="1"/>
        <v>0.1039788861204767</v>
      </c>
    </row>
    <row r="13" spans="1:5" x14ac:dyDescent="0.25">
      <c r="A13" s="558" t="s">
        <v>58</v>
      </c>
      <c r="B13" s="551">
        <v>21</v>
      </c>
      <c r="C13" s="381">
        <f t="shared" si="0"/>
        <v>0.13907284768211919</v>
      </c>
      <c r="D13" s="382">
        <v>313849.02</v>
      </c>
      <c r="E13" s="383">
        <f t="shared" si="1"/>
        <v>5.860804493868034E-2</v>
      </c>
    </row>
    <row r="14" spans="1:5" x14ac:dyDescent="0.25">
      <c r="A14" s="557" t="s">
        <v>593</v>
      </c>
      <c r="B14" s="551">
        <v>0</v>
      </c>
      <c r="C14" s="381">
        <f t="shared" si="0"/>
        <v>0</v>
      </c>
      <c r="D14" s="382">
        <v>0</v>
      </c>
      <c r="E14" s="383">
        <f t="shared" si="1"/>
        <v>0</v>
      </c>
    </row>
    <row r="15" spans="1:5" x14ac:dyDescent="0.25">
      <c r="A15" s="557" t="s">
        <v>33</v>
      </c>
      <c r="B15" s="551">
        <v>3</v>
      </c>
      <c r="C15" s="381">
        <f t="shared" si="0"/>
        <v>1.9867549668874173E-2</v>
      </c>
      <c r="D15" s="382">
        <v>55316</v>
      </c>
      <c r="E15" s="383">
        <f t="shared" si="1"/>
        <v>1.0329688503816393E-2</v>
      </c>
    </row>
    <row r="16" spans="1:5" x14ac:dyDescent="0.25">
      <c r="A16" s="558" t="s">
        <v>38</v>
      </c>
      <c r="B16" s="551">
        <v>4</v>
      </c>
      <c r="C16" s="381">
        <f t="shared" si="0"/>
        <v>2.6490066225165563E-2</v>
      </c>
      <c r="D16" s="382">
        <v>123345</v>
      </c>
      <c r="E16" s="383">
        <f t="shared" si="1"/>
        <v>2.3033397724044273E-2</v>
      </c>
    </row>
    <row r="17" spans="1:5" x14ac:dyDescent="0.25">
      <c r="A17" s="556" t="s">
        <v>44</v>
      </c>
      <c r="B17" s="551">
        <v>3</v>
      </c>
      <c r="C17" s="381">
        <f t="shared" si="0"/>
        <v>1.9867549668874173E-2</v>
      </c>
      <c r="D17" s="382">
        <v>8907</v>
      </c>
      <c r="E17" s="383">
        <f t="shared" si="1"/>
        <v>1.6632897444408962E-3</v>
      </c>
    </row>
    <row r="18" spans="1:5" x14ac:dyDescent="0.25">
      <c r="A18" s="557" t="s">
        <v>49</v>
      </c>
      <c r="B18" s="551">
        <v>0</v>
      </c>
      <c r="C18" s="381">
        <f t="shared" si="0"/>
        <v>0</v>
      </c>
      <c r="D18" s="382">
        <v>0</v>
      </c>
      <c r="E18" s="383">
        <f t="shared" si="1"/>
        <v>0</v>
      </c>
    </row>
    <row r="19" spans="1:5" x14ac:dyDescent="0.25">
      <c r="A19" s="557" t="s">
        <v>52</v>
      </c>
      <c r="B19" s="551">
        <v>1</v>
      </c>
      <c r="C19" s="381">
        <f t="shared" si="0"/>
        <v>6.6225165562913907E-3</v>
      </c>
      <c r="D19" s="382">
        <v>8813</v>
      </c>
      <c r="E19" s="383">
        <f t="shared" si="1"/>
        <v>1.6457362206980597E-3</v>
      </c>
    </row>
    <row r="20" spans="1:5" x14ac:dyDescent="0.25">
      <c r="A20" s="557" t="s">
        <v>262</v>
      </c>
      <c r="B20" s="551">
        <v>0</v>
      </c>
      <c r="C20" s="381">
        <f t="shared" si="0"/>
        <v>0</v>
      </c>
      <c r="D20" s="382">
        <v>0</v>
      </c>
      <c r="E20" s="383">
        <f t="shared" si="1"/>
        <v>0</v>
      </c>
    </row>
    <row r="21" spans="1:5" x14ac:dyDescent="0.25">
      <c r="A21" s="557" t="s">
        <v>41</v>
      </c>
      <c r="B21" s="551">
        <v>8</v>
      </c>
      <c r="C21" s="381">
        <f t="shared" si="0"/>
        <v>5.2980132450331126E-2</v>
      </c>
      <c r="D21" s="382">
        <v>112412.4334227326</v>
      </c>
      <c r="E21" s="383">
        <f t="shared" si="1"/>
        <v>2.0991854458254876E-2</v>
      </c>
    </row>
    <row r="22" spans="1:5" ht="15.75" thickBot="1" x14ac:dyDescent="0.3">
      <c r="A22" s="559" t="s">
        <v>48</v>
      </c>
      <c r="B22" s="552">
        <v>1</v>
      </c>
      <c r="C22" s="386">
        <f t="shared" si="0"/>
        <v>6.6225165562913907E-3</v>
      </c>
      <c r="D22" s="387">
        <v>1664.0781007321943</v>
      </c>
      <c r="E22" s="388">
        <f t="shared" si="1"/>
        <v>3.1074930267166765E-4</v>
      </c>
    </row>
    <row r="23" spans="1:5" ht="15.75" thickBot="1" x14ac:dyDescent="0.3">
      <c r="A23" s="554" t="s">
        <v>21</v>
      </c>
      <c r="B23" s="553">
        <f>SUM(B3:B22)</f>
        <v>151</v>
      </c>
      <c r="C23" s="389">
        <f>SUM(C3:C22)</f>
        <v>1</v>
      </c>
      <c r="D23" s="371">
        <f>SUM(D3:D22)</f>
        <v>5355050.1527285185</v>
      </c>
      <c r="E23" s="390">
        <f>SUM(E3:E22)</f>
        <v>1</v>
      </c>
    </row>
    <row r="24" spans="1:5" x14ac:dyDescent="0.25">
      <c r="A24" s="107"/>
      <c r="B24" s="107"/>
      <c r="C24" s="107"/>
      <c r="D24" s="107"/>
      <c r="E24" s="108" t="s">
        <v>536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A2" sqref="A2"/>
    </sheetView>
  </sheetViews>
  <sheetFormatPr defaultRowHeight="15.75" x14ac:dyDescent="0.25"/>
  <cols>
    <col min="1" max="1" width="18.42578125" style="80" customWidth="1"/>
    <col min="2" max="2" width="26.42578125" style="77" customWidth="1"/>
    <col min="3" max="3" width="29.5703125" style="77" customWidth="1"/>
    <col min="4" max="4" width="28.28515625" style="77" customWidth="1"/>
    <col min="5" max="5" width="28.42578125" style="77" customWidth="1"/>
    <col min="6" max="16384" width="9.140625" style="77"/>
  </cols>
  <sheetData>
    <row r="1" spans="1:5" ht="47.25" customHeight="1" thickBot="1" x14ac:dyDescent="0.3">
      <c r="A1" s="1038" t="s">
        <v>643</v>
      </c>
      <c r="B1" s="1038"/>
      <c r="C1" s="1038"/>
      <c r="D1" s="1038"/>
      <c r="E1" s="1038"/>
    </row>
    <row r="2" spans="1:5" s="78" customFormat="1" ht="76.5" customHeight="1" thickBot="1" x14ac:dyDescent="0.3">
      <c r="A2" s="807" t="s">
        <v>56</v>
      </c>
      <c r="B2" s="804" t="s">
        <v>538</v>
      </c>
      <c r="C2" s="391" t="s">
        <v>250</v>
      </c>
      <c r="D2" s="391" t="s">
        <v>539</v>
      </c>
      <c r="E2" s="398" t="s">
        <v>251</v>
      </c>
    </row>
    <row r="3" spans="1:5" x14ac:dyDescent="0.25">
      <c r="A3" s="808" t="s">
        <v>29</v>
      </c>
      <c r="B3" s="805">
        <v>2561381</v>
      </c>
      <c r="C3" s="392">
        <v>1665</v>
      </c>
      <c r="D3" s="392">
        <v>2352495</v>
      </c>
      <c r="E3" s="399">
        <v>1445</v>
      </c>
    </row>
    <row r="4" spans="1:5" x14ac:dyDescent="0.25">
      <c r="A4" s="809" t="s">
        <v>39</v>
      </c>
      <c r="B4" s="675">
        <v>1498198</v>
      </c>
      <c r="C4" s="393">
        <v>895</v>
      </c>
      <c r="D4" s="393">
        <v>1611605</v>
      </c>
      <c r="E4" s="396">
        <v>1210</v>
      </c>
    </row>
    <row r="5" spans="1:5" x14ac:dyDescent="0.25">
      <c r="A5" s="809" t="s">
        <v>37</v>
      </c>
      <c r="B5" s="675">
        <v>2544906</v>
      </c>
      <c r="C5" s="393">
        <v>1424</v>
      </c>
      <c r="D5" s="393">
        <v>2726068.78</v>
      </c>
      <c r="E5" s="396">
        <v>1427</v>
      </c>
    </row>
    <row r="6" spans="1:5" x14ac:dyDescent="0.25">
      <c r="A6" s="809" t="s">
        <v>42</v>
      </c>
      <c r="B6" s="675">
        <v>621352</v>
      </c>
      <c r="C6" s="393">
        <v>502</v>
      </c>
      <c r="D6" s="393">
        <v>586375.27</v>
      </c>
      <c r="E6" s="396">
        <v>360</v>
      </c>
    </row>
    <row r="7" spans="1:5" x14ac:dyDescent="0.25">
      <c r="A7" s="809" t="s">
        <v>181</v>
      </c>
      <c r="B7" s="675">
        <v>245918</v>
      </c>
      <c r="C7" s="393">
        <v>152</v>
      </c>
      <c r="D7" s="393">
        <v>343920</v>
      </c>
      <c r="E7" s="396">
        <v>223</v>
      </c>
    </row>
    <row r="8" spans="1:5" x14ac:dyDescent="0.25">
      <c r="A8" s="809" t="s">
        <v>35</v>
      </c>
      <c r="B8" s="675">
        <v>1364236</v>
      </c>
      <c r="C8" s="393">
        <v>1492</v>
      </c>
      <c r="D8" s="393">
        <v>1360125</v>
      </c>
      <c r="E8" s="396">
        <v>1367</v>
      </c>
    </row>
    <row r="9" spans="1:5" x14ac:dyDescent="0.25">
      <c r="A9" s="809" t="s">
        <v>205</v>
      </c>
      <c r="B9" s="675">
        <v>1526265</v>
      </c>
      <c r="C9" s="393">
        <v>1103</v>
      </c>
      <c r="D9" s="393">
        <v>1484025</v>
      </c>
      <c r="E9" s="396">
        <v>1164</v>
      </c>
    </row>
    <row r="10" spans="1:5" x14ac:dyDescent="0.25">
      <c r="A10" s="809" t="s">
        <v>40</v>
      </c>
      <c r="B10" s="675">
        <v>684369</v>
      </c>
      <c r="C10" s="393">
        <v>633</v>
      </c>
      <c r="D10" s="393">
        <v>700715</v>
      </c>
      <c r="E10" s="396">
        <v>582</v>
      </c>
    </row>
    <row r="11" spans="1:5" x14ac:dyDescent="0.25">
      <c r="A11" s="809" t="s">
        <v>30</v>
      </c>
      <c r="B11" s="675">
        <v>1815250</v>
      </c>
      <c r="C11" s="393">
        <v>1748</v>
      </c>
      <c r="D11" s="393">
        <v>1686930.01</v>
      </c>
      <c r="E11" s="396">
        <v>1427</v>
      </c>
    </row>
    <row r="12" spans="1:5" x14ac:dyDescent="0.25">
      <c r="A12" s="809" t="s">
        <v>31</v>
      </c>
      <c r="B12" s="675">
        <v>3061134</v>
      </c>
      <c r="C12" s="393">
        <v>2269</v>
      </c>
      <c r="D12" s="393">
        <v>3246145</v>
      </c>
      <c r="E12" s="396">
        <v>2204</v>
      </c>
    </row>
    <row r="13" spans="1:5" x14ac:dyDescent="0.25">
      <c r="A13" s="809" t="s">
        <v>58</v>
      </c>
      <c r="B13" s="675">
        <v>1396122</v>
      </c>
      <c r="C13" s="393">
        <v>753</v>
      </c>
      <c r="D13" s="393">
        <v>1385235</v>
      </c>
      <c r="E13" s="396">
        <v>757</v>
      </c>
    </row>
    <row r="14" spans="1:5" x14ac:dyDescent="0.25">
      <c r="A14" s="809" t="s">
        <v>593</v>
      </c>
      <c r="B14" s="675">
        <v>572728</v>
      </c>
      <c r="C14" s="393">
        <v>413</v>
      </c>
      <c r="D14" s="393">
        <v>578250.4</v>
      </c>
      <c r="E14" s="396">
        <v>362</v>
      </c>
    </row>
    <row r="15" spans="1:5" x14ac:dyDescent="0.25">
      <c r="A15" s="809" t="s">
        <v>33</v>
      </c>
      <c r="B15" s="675">
        <v>1256672</v>
      </c>
      <c r="C15" s="393">
        <v>1034</v>
      </c>
      <c r="D15" s="393">
        <v>1296902.1000000001</v>
      </c>
      <c r="E15" s="396">
        <v>1053</v>
      </c>
    </row>
    <row r="16" spans="1:5" x14ac:dyDescent="0.25">
      <c r="A16" s="809" t="s">
        <v>38</v>
      </c>
      <c r="B16" s="675">
        <v>962173</v>
      </c>
      <c r="C16" s="393">
        <v>661</v>
      </c>
      <c r="D16" s="393">
        <v>1096820</v>
      </c>
      <c r="E16" s="396">
        <v>696</v>
      </c>
    </row>
    <row r="17" spans="1:5" x14ac:dyDescent="0.25">
      <c r="A17" s="809" t="s">
        <v>44</v>
      </c>
      <c r="B17" s="675">
        <v>667537</v>
      </c>
      <c r="C17" s="393">
        <v>443</v>
      </c>
      <c r="D17" s="393">
        <v>669345</v>
      </c>
      <c r="E17" s="396">
        <v>480</v>
      </c>
    </row>
    <row r="18" spans="1:5" x14ac:dyDescent="0.25">
      <c r="A18" s="809" t="s">
        <v>49</v>
      </c>
      <c r="B18" s="675">
        <v>137720</v>
      </c>
      <c r="C18" s="393">
        <v>154</v>
      </c>
      <c r="D18" s="393">
        <v>148945</v>
      </c>
      <c r="E18" s="396">
        <v>125</v>
      </c>
    </row>
    <row r="19" spans="1:5" x14ac:dyDescent="0.25">
      <c r="A19" s="809" t="s">
        <v>52</v>
      </c>
      <c r="B19" s="675">
        <v>130859</v>
      </c>
      <c r="C19" s="393">
        <v>99</v>
      </c>
      <c r="D19" s="393">
        <v>115580</v>
      </c>
      <c r="E19" s="396">
        <v>88</v>
      </c>
    </row>
    <row r="20" spans="1:5" x14ac:dyDescent="0.25">
      <c r="A20" s="809" t="s">
        <v>206</v>
      </c>
      <c r="B20" s="675">
        <v>203795</v>
      </c>
      <c r="C20" s="393">
        <v>115</v>
      </c>
      <c r="D20" s="393">
        <v>209675</v>
      </c>
      <c r="E20" s="396">
        <v>113</v>
      </c>
    </row>
    <row r="21" spans="1:5" x14ac:dyDescent="0.25">
      <c r="A21" s="809" t="s">
        <v>41</v>
      </c>
      <c r="B21" s="675">
        <v>1430903</v>
      </c>
      <c r="C21" s="393">
        <v>887</v>
      </c>
      <c r="D21" s="393">
        <v>1291390</v>
      </c>
      <c r="E21" s="396">
        <v>633</v>
      </c>
    </row>
    <row r="22" spans="1:5" ht="16.5" thickBot="1" x14ac:dyDescent="0.3">
      <c r="A22" s="810" t="s">
        <v>48</v>
      </c>
      <c r="B22" s="806">
        <v>340297</v>
      </c>
      <c r="C22" s="394">
        <v>174</v>
      </c>
      <c r="D22" s="394">
        <v>339609.48</v>
      </c>
      <c r="E22" s="397">
        <v>191</v>
      </c>
    </row>
    <row r="23" spans="1:5" s="79" customFormat="1" ht="16.5" thickBot="1" x14ac:dyDescent="0.3">
      <c r="A23" s="811" t="s">
        <v>21</v>
      </c>
      <c r="B23" s="804">
        <f>SUM(B3:B22)</f>
        <v>23021815</v>
      </c>
      <c r="C23" s="395">
        <f>SUM(C3:C22)</f>
        <v>16616</v>
      </c>
      <c r="D23" s="391">
        <f>SUM(D3:D22)</f>
        <v>23230156.039999999</v>
      </c>
      <c r="E23" s="398">
        <f>SUM(E3:E22)</f>
        <v>15907</v>
      </c>
    </row>
    <row r="24" spans="1:5" x14ac:dyDescent="0.25">
      <c r="E24" s="108" t="s">
        <v>540</v>
      </c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workbookViewId="0">
      <selection activeCell="H27" sqref="H27"/>
    </sheetView>
  </sheetViews>
  <sheetFormatPr defaultColWidth="22.5703125" defaultRowHeight="15.75" x14ac:dyDescent="0.25"/>
  <cols>
    <col min="1" max="1" width="17.85546875" style="109" customWidth="1"/>
    <col min="2" max="2" width="15.28515625" style="109" customWidth="1"/>
    <col min="3" max="3" width="14.42578125" style="109" customWidth="1"/>
    <col min="4" max="4" width="11.85546875" style="109" customWidth="1"/>
    <col min="5" max="5" width="13.28515625" style="109" customWidth="1"/>
    <col min="6" max="6" width="14.85546875" style="109" customWidth="1"/>
    <col min="7" max="7" width="13.85546875" style="109" customWidth="1"/>
    <col min="8" max="8" width="16.140625" style="109" customWidth="1"/>
    <col min="9" max="9" width="14.7109375" style="109" customWidth="1"/>
    <col min="10" max="16384" width="22.5703125" style="109"/>
  </cols>
  <sheetData>
    <row r="1" spans="1:9" ht="24" customHeight="1" thickBot="1" x14ac:dyDescent="0.3">
      <c r="A1" s="1039" t="s">
        <v>541</v>
      </c>
      <c r="B1" s="1039"/>
      <c r="C1" s="1039"/>
      <c r="D1" s="1039"/>
      <c r="E1" s="1039"/>
      <c r="F1" s="1039"/>
      <c r="G1" s="1039"/>
      <c r="H1" s="1039"/>
      <c r="I1" s="1039"/>
    </row>
    <row r="2" spans="1:9" s="400" customFormat="1" ht="105" customHeight="1" thickBot="1" x14ac:dyDescent="0.3">
      <c r="A2" s="830" t="s">
        <v>56</v>
      </c>
      <c r="B2" s="407" t="s">
        <v>317</v>
      </c>
      <c r="C2" s="408" t="s">
        <v>318</v>
      </c>
      <c r="D2" s="408" t="s">
        <v>319</v>
      </c>
      <c r="E2" s="409" t="s">
        <v>320</v>
      </c>
      <c r="F2" s="831" t="s">
        <v>321</v>
      </c>
      <c r="G2" s="408" t="s">
        <v>322</v>
      </c>
      <c r="H2" s="408" t="s">
        <v>323</v>
      </c>
      <c r="I2" s="409" t="s">
        <v>324</v>
      </c>
    </row>
    <row r="3" spans="1:9" x14ac:dyDescent="0.25">
      <c r="A3" s="826" t="s">
        <v>29</v>
      </c>
      <c r="B3" s="832">
        <v>11028</v>
      </c>
      <c r="C3" s="829">
        <v>0</v>
      </c>
      <c r="D3" s="829">
        <f>B3+C3</f>
        <v>11028</v>
      </c>
      <c r="E3" s="833">
        <v>68</v>
      </c>
      <c r="F3" s="840">
        <v>10984</v>
      </c>
      <c r="G3" s="841">
        <v>0</v>
      </c>
      <c r="H3" s="841">
        <f>F3+G3</f>
        <v>10984</v>
      </c>
      <c r="I3" s="842">
        <v>435</v>
      </c>
    </row>
    <row r="4" spans="1:9" x14ac:dyDescent="0.25">
      <c r="A4" s="827" t="s">
        <v>39</v>
      </c>
      <c r="B4" s="834">
        <v>1951</v>
      </c>
      <c r="C4" s="828">
        <v>664</v>
      </c>
      <c r="D4" s="828">
        <f t="shared" ref="D4:D22" si="0">B4+C4</f>
        <v>2615</v>
      </c>
      <c r="E4" s="403">
        <v>310</v>
      </c>
      <c r="F4" s="834">
        <v>1951</v>
      </c>
      <c r="G4" s="828">
        <v>664</v>
      </c>
      <c r="H4" s="828">
        <f t="shared" ref="H4:H22" si="1">F4+G4</f>
        <v>2615</v>
      </c>
      <c r="I4" s="403">
        <v>739</v>
      </c>
    </row>
    <row r="5" spans="1:9" x14ac:dyDescent="0.25">
      <c r="A5" s="827" t="s">
        <v>37</v>
      </c>
      <c r="B5" s="834">
        <v>1921</v>
      </c>
      <c r="C5" s="828">
        <v>236</v>
      </c>
      <c r="D5" s="828">
        <f t="shared" si="0"/>
        <v>2157</v>
      </c>
      <c r="E5" s="403">
        <v>843</v>
      </c>
      <c r="F5" s="834">
        <v>1921</v>
      </c>
      <c r="G5" s="828">
        <v>236</v>
      </c>
      <c r="H5" s="828">
        <f t="shared" si="1"/>
        <v>2157</v>
      </c>
      <c r="I5" s="403">
        <v>671</v>
      </c>
    </row>
    <row r="6" spans="1:9" x14ac:dyDescent="0.25">
      <c r="A6" s="827" t="s">
        <v>42</v>
      </c>
      <c r="B6" s="834">
        <v>237</v>
      </c>
      <c r="C6" s="828">
        <v>149</v>
      </c>
      <c r="D6" s="828">
        <f t="shared" si="0"/>
        <v>386</v>
      </c>
      <c r="E6" s="403">
        <v>180</v>
      </c>
      <c r="F6" s="834">
        <v>237</v>
      </c>
      <c r="G6" s="828">
        <v>149</v>
      </c>
      <c r="H6" s="828">
        <f t="shared" si="1"/>
        <v>386</v>
      </c>
      <c r="I6" s="403">
        <v>118</v>
      </c>
    </row>
    <row r="7" spans="1:9" x14ac:dyDescent="0.25">
      <c r="A7" s="827" t="s">
        <v>181</v>
      </c>
      <c r="B7" s="834">
        <v>830</v>
      </c>
      <c r="C7" s="828">
        <v>0</v>
      </c>
      <c r="D7" s="828">
        <f t="shared" si="0"/>
        <v>830</v>
      </c>
      <c r="E7" s="403">
        <v>81</v>
      </c>
      <c r="F7" s="834">
        <v>899</v>
      </c>
      <c r="G7" s="828">
        <v>0</v>
      </c>
      <c r="H7" s="828">
        <f t="shared" si="1"/>
        <v>899</v>
      </c>
      <c r="I7" s="403">
        <v>0</v>
      </c>
    </row>
    <row r="8" spans="1:9" x14ac:dyDescent="0.25">
      <c r="A8" s="827" t="s">
        <v>35</v>
      </c>
      <c r="B8" s="834">
        <v>1235</v>
      </c>
      <c r="C8" s="828">
        <v>445</v>
      </c>
      <c r="D8" s="828">
        <f t="shared" si="0"/>
        <v>1680</v>
      </c>
      <c r="E8" s="403">
        <v>1986</v>
      </c>
      <c r="F8" s="834">
        <v>1235</v>
      </c>
      <c r="G8" s="828">
        <v>445</v>
      </c>
      <c r="H8" s="828">
        <f t="shared" si="1"/>
        <v>1680</v>
      </c>
      <c r="I8" s="403">
        <v>2845</v>
      </c>
    </row>
    <row r="9" spans="1:9" x14ac:dyDescent="0.25">
      <c r="A9" s="827" t="s">
        <v>205</v>
      </c>
      <c r="B9" s="834">
        <v>2565</v>
      </c>
      <c r="C9" s="828">
        <v>0</v>
      </c>
      <c r="D9" s="828">
        <f t="shared" si="0"/>
        <v>2565</v>
      </c>
      <c r="E9" s="403">
        <v>318</v>
      </c>
      <c r="F9" s="834">
        <v>2565</v>
      </c>
      <c r="G9" s="828"/>
      <c r="H9" s="828">
        <f t="shared" si="1"/>
        <v>2565</v>
      </c>
      <c r="I9" s="403">
        <v>804</v>
      </c>
    </row>
    <row r="10" spans="1:9" x14ac:dyDescent="0.25">
      <c r="A10" s="827" t="s">
        <v>40</v>
      </c>
      <c r="B10" s="834">
        <v>0</v>
      </c>
      <c r="C10" s="828">
        <v>659</v>
      </c>
      <c r="D10" s="828">
        <f t="shared" si="0"/>
        <v>659</v>
      </c>
      <c r="E10" s="403">
        <v>0</v>
      </c>
      <c r="F10" s="834">
        <v>0</v>
      </c>
      <c r="G10" s="828">
        <v>659</v>
      </c>
      <c r="H10" s="828">
        <f t="shared" si="1"/>
        <v>659</v>
      </c>
      <c r="I10" s="403">
        <v>0</v>
      </c>
    </row>
    <row r="11" spans="1:9" x14ac:dyDescent="0.25">
      <c r="A11" s="827" t="s">
        <v>30</v>
      </c>
      <c r="B11" s="834">
        <v>8220</v>
      </c>
      <c r="C11" s="828">
        <v>0</v>
      </c>
      <c r="D11" s="828">
        <f t="shared" si="0"/>
        <v>8220</v>
      </c>
      <c r="E11" s="403">
        <v>320</v>
      </c>
      <c r="F11" s="834">
        <v>8220</v>
      </c>
      <c r="G11" s="828">
        <v>0</v>
      </c>
      <c r="H11" s="828">
        <f t="shared" si="1"/>
        <v>8220</v>
      </c>
      <c r="I11" s="403">
        <v>423</v>
      </c>
    </row>
    <row r="12" spans="1:9" x14ac:dyDescent="0.25">
      <c r="A12" s="827" t="s">
        <v>31</v>
      </c>
      <c r="B12" s="834">
        <v>5821</v>
      </c>
      <c r="C12" s="828">
        <v>0</v>
      </c>
      <c r="D12" s="828">
        <f t="shared" si="0"/>
        <v>5821</v>
      </c>
      <c r="E12" s="403">
        <v>0</v>
      </c>
      <c r="F12" s="834">
        <v>5821</v>
      </c>
      <c r="G12" s="828"/>
      <c r="H12" s="828">
        <f t="shared" si="1"/>
        <v>5821</v>
      </c>
      <c r="I12" s="403">
        <v>0</v>
      </c>
    </row>
    <row r="13" spans="1:9" x14ac:dyDescent="0.25">
      <c r="A13" s="827" t="s">
        <v>58</v>
      </c>
      <c r="B13" s="834">
        <v>5052</v>
      </c>
      <c r="C13" s="828">
        <v>14</v>
      </c>
      <c r="D13" s="828">
        <f t="shared" si="0"/>
        <v>5066</v>
      </c>
      <c r="E13" s="403">
        <v>0</v>
      </c>
      <c r="F13" s="834">
        <v>5048</v>
      </c>
      <c r="G13" s="828">
        <v>14</v>
      </c>
      <c r="H13" s="828">
        <f t="shared" si="1"/>
        <v>5062</v>
      </c>
      <c r="I13" s="403">
        <v>0</v>
      </c>
    </row>
    <row r="14" spans="1:9" x14ac:dyDescent="0.25">
      <c r="A14" s="827" t="s">
        <v>593</v>
      </c>
      <c r="B14" s="834">
        <v>318</v>
      </c>
      <c r="C14" s="828">
        <v>321</v>
      </c>
      <c r="D14" s="828">
        <f t="shared" si="0"/>
        <v>639</v>
      </c>
      <c r="E14" s="403">
        <v>109</v>
      </c>
      <c r="F14" s="834">
        <v>318</v>
      </c>
      <c r="G14" s="828">
        <v>321</v>
      </c>
      <c r="H14" s="828">
        <f t="shared" si="1"/>
        <v>639</v>
      </c>
      <c r="I14" s="403">
        <v>220</v>
      </c>
    </row>
    <row r="15" spans="1:9" x14ac:dyDescent="0.25">
      <c r="A15" s="827" t="s">
        <v>33</v>
      </c>
      <c r="B15" s="834">
        <v>2988</v>
      </c>
      <c r="C15" s="828">
        <v>150</v>
      </c>
      <c r="D15" s="828">
        <f t="shared" si="0"/>
        <v>3138</v>
      </c>
      <c r="E15" s="403">
        <v>365</v>
      </c>
      <c r="F15" s="834">
        <v>3011</v>
      </c>
      <c r="G15" s="828">
        <v>150</v>
      </c>
      <c r="H15" s="828">
        <f t="shared" si="1"/>
        <v>3161</v>
      </c>
      <c r="I15" s="403">
        <v>83</v>
      </c>
    </row>
    <row r="16" spans="1:9" x14ac:dyDescent="0.25">
      <c r="A16" s="827" t="s">
        <v>38</v>
      </c>
      <c r="B16" s="834">
        <v>2825</v>
      </c>
      <c r="C16" s="828">
        <v>0</v>
      </c>
      <c r="D16" s="828">
        <f t="shared" si="0"/>
        <v>2825</v>
      </c>
      <c r="E16" s="403">
        <v>1091</v>
      </c>
      <c r="F16" s="834">
        <v>2825</v>
      </c>
      <c r="G16" s="828">
        <v>0</v>
      </c>
      <c r="H16" s="828">
        <f t="shared" si="1"/>
        <v>2825</v>
      </c>
      <c r="I16" s="403">
        <v>1839</v>
      </c>
    </row>
    <row r="17" spans="1:9" x14ac:dyDescent="0.25">
      <c r="A17" s="827" t="s">
        <v>44</v>
      </c>
      <c r="B17" s="834">
        <v>1524</v>
      </c>
      <c r="C17" s="828">
        <v>0</v>
      </c>
      <c r="D17" s="828">
        <f t="shared" si="0"/>
        <v>1524</v>
      </c>
      <c r="E17" s="403">
        <v>0</v>
      </c>
      <c r="F17" s="834">
        <v>1524</v>
      </c>
      <c r="G17" s="828">
        <v>0</v>
      </c>
      <c r="H17" s="828">
        <f t="shared" si="1"/>
        <v>1524</v>
      </c>
      <c r="I17" s="403">
        <v>0</v>
      </c>
    </row>
    <row r="18" spans="1:9" x14ac:dyDescent="0.25">
      <c r="A18" s="827" t="s">
        <v>49</v>
      </c>
      <c r="B18" s="834">
        <v>0</v>
      </c>
      <c r="C18" s="828">
        <v>0</v>
      </c>
      <c r="D18" s="828">
        <f t="shared" si="0"/>
        <v>0</v>
      </c>
      <c r="E18" s="403">
        <v>0</v>
      </c>
      <c r="F18" s="834">
        <v>0</v>
      </c>
      <c r="G18" s="828">
        <v>0</v>
      </c>
      <c r="H18" s="828">
        <f t="shared" si="1"/>
        <v>0</v>
      </c>
      <c r="I18" s="403">
        <v>0</v>
      </c>
    </row>
    <row r="19" spans="1:9" x14ac:dyDescent="0.25">
      <c r="A19" s="827" t="s">
        <v>52</v>
      </c>
      <c r="B19" s="834">
        <v>0</v>
      </c>
      <c r="C19" s="828">
        <v>0</v>
      </c>
      <c r="D19" s="828">
        <f t="shared" si="0"/>
        <v>0</v>
      </c>
      <c r="E19" s="403">
        <v>0</v>
      </c>
      <c r="F19" s="834">
        <v>0</v>
      </c>
      <c r="G19" s="828">
        <v>0</v>
      </c>
      <c r="H19" s="828">
        <f t="shared" si="1"/>
        <v>0</v>
      </c>
      <c r="I19" s="403">
        <v>0</v>
      </c>
    </row>
    <row r="20" spans="1:9" x14ac:dyDescent="0.25">
      <c r="A20" s="827" t="s">
        <v>206</v>
      </c>
      <c r="B20" s="834">
        <v>201</v>
      </c>
      <c r="C20" s="828">
        <v>0</v>
      </c>
      <c r="D20" s="828">
        <f t="shared" si="0"/>
        <v>201</v>
      </c>
      <c r="E20" s="403">
        <v>49</v>
      </c>
      <c r="F20" s="834">
        <v>136</v>
      </c>
      <c r="G20" s="828">
        <v>0</v>
      </c>
      <c r="H20" s="828">
        <f t="shared" si="1"/>
        <v>136</v>
      </c>
      <c r="I20" s="403">
        <v>107</v>
      </c>
    </row>
    <row r="21" spans="1:9" x14ac:dyDescent="0.25">
      <c r="A21" s="827" t="s">
        <v>41</v>
      </c>
      <c r="B21" s="834">
        <v>678</v>
      </c>
      <c r="C21" s="828">
        <v>50</v>
      </c>
      <c r="D21" s="828">
        <f t="shared" si="0"/>
        <v>728</v>
      </c>
      <c r="E21" s="403">
        <v>0</v>
      </c>
      <c r="F21" s="834">
        <v>552</v>
      </c>
      <c r="G21" s="828">
        <v>50</v>
      </c>
      <c r="H21" s="828">
        <f t="shared" si="1"/>
        <v>602</v>
      </c>
      <c r="I21" s="403">
        <v>0</v>
      </c>
    </row>
    <row r="22" spans="1:9" ht="16.5" thickBot="1" x14ac:dyDescent="0.3">
      <c r="A22" s="835" t="s">
        <v>48</v>
      </c>
      <c r="B22" s="836">
        <v>492</v>
      </c>
      <c r="C22" s="837">
        <v>94</v>
      </c>
      <c r="D22" s="837">
        <f t="shared" si="0"/>
        <v>586</v>
      </c>
      <c r="E22" s="838">
        <v>0</v>
      </c>
      <c r="F22" s="836">
        <v>492</v>
      </c>
      <c r="G22" s="837">
        <v>94</v>
      </c>
      <c r="H22" s="837">
        <f t="shared" si="1"/>
        <v>586</v>
      </c>
      <c r="I22" s="838">
        <v>0</v>
      </c>
    </row>
    <row r="23" spans="1:9" s="401" customFormat="1" ht="16.5" thickBot="1" x14ac:dyDescent="0.3">
      <c r="A23" s="839" t="s">
        <v>21</v>
      </c>
      <c r="B23" s="404">
        <f t="shared" ref="B23:I23" si="2">SUM(B3:B22)</f>
        <v>47886</v>
      </c>
      <c r="C23" s="405">
        <f t="shared" si="2"/>
        <v>2782</v>
      </c>
      <c r="D23" s="405">
        <f t="shared" si="2"/>
        <v>50668</v>
      </c>
      <c r="E23" s="406">
        <f t="shared" si="2"/>
        <v>5720</v>
      </c>
      <c r="F23" s="404">
        <f t="shared" si="2"/>
        <v>47739</v>
      </c>
      <c r="G23" s="405">
        <f t="shared" si="2"/>
        <v>2782</v>
      </c>
      <c r="H23" s="405">
        <f t="shared" si="2"/>
        <v>50521</v>
      </c>
      <c r="I23" s="406">
        <f t="shared" si="2"/>
        <v>8284</v>
      </c>
    </row>
    <row r="24" spans="1:9" x14ac:dyDescent="0.25">
      <c r="B24" s="402"/>
      <c r="E24" s="402"/>
      <c r="F24" s="402"/>
      <c r="I24" s="402" t="s">
        <v>28</v>
      </c>
    </row>
  </sheetData>
  <mergeCells count="1">
    <mergeCell ref="A1:I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31" workbookViewId="0">
      <selection activeCell="E21" sqref="E21"/>
    </sheetView>
  </sheetViews>
  <sheetFormatPr defaultRowHeight="15.75" x14ac:dyDescent="0.25"/>
  <cols>
    <col min="1" max="1" width="12.5703125" style="113" customWidth="1"/>
    <col min="2" max="2" width="17.28515625" style="113" customWidth="1"/>
    <col min="3" max="3" width="49.5703125" style="113" customWidth="1"/>
    <col min="4" max="4" width="15.42578125" style="113" customWidth="1"/>
    <col min="5" max="6" width="18.7109375" style="113" customWidth="1"/>
    <col min="7" max="7" width="9.140625" style="113"/>
    <col min="8" max="8" width="15.42578125" style="113" bestFit="1" customWidth="1"/>
    <col min="9" max="16384" width="9.140625" style="113"/>
  </cols>
  <sheetData>
    <row r="1" spans="1:8" ht="21.75" thickBot="1" x14ac:dyDescent="0.3">
      <c r="A1" s="1040" t="s">
        <v>542</v>
      </c>
      <c r="B1" s="1040"/>
      <c r="C1" s="1040"/>
      <c r="D1" s="1040"/>
      <c r="E1" s="110"/>
      <c r="F1" s="110"/>
      <c r="G1" s="110"/>
      <c r="H1" s="110"/>
    </row>
    <row r="2" spans="1:8" x14ac:dyDescent="0.25">
      <c r="A2" s="903" t="s">
        <v>325</v>
      </c>
      <c r="B2" s="1041" t="s">
        <v>326</v>
      </c>
      <c r="C2" s="583" t="s">
        <v>327</v>
      </c>
      <c r="D2" s="584">
        <v>9607749.9199999999</v>
      </c>
    </row>
    <row r="3" spans="1:8" x14ac:dyDescent="0.25">
      <c r="A3" s="904"/>
      <c r="B3" s="1042"/>
      <c r="C3" s="585" t="s">
        <v>328</v>
      </c>
      <c r="D3" s="586">
        <v>52765.63</v>
      </c>
    </row>
    <row r="4" spans="1:8" x14ac:dyDescent="0.25">
      <c r="A4" s="904"/>
      <c r="B4" s="1042"/>
      <c r="C4" s="585" t="s">
        <v>329</v>
      </c>
      <c r="D4" s="586">
        <v>12277.26</v>
      </c>
    </row>
    <row r="5" spans="1:8" x14ac:dyDescent="0.25">
      <c r="A5" s="904"/>
      <c r="B5" s="1042"/>
      <c r="C5" s="585" t="s">
        <v>330</v>
      </c>
      <c r="D5" s="586">
        <v>2864149.95</v>
      </c>
    </row>
    <row r="6" spans="1:8" x14ac:dyDescent="0.25">
      <c r="A6" s="904"/>
      <c r="B6" s="1043"/>
      <c r="C6" s="585" t="s">
        <v>331</v>
      </c>
      <c r="D6" s="586">
        <v>0</v>
      </c>
    </row>
    <row r="7" spans="1:8" x14ac:dyDescent="0.25">
      <c r="A7" s="904"/>
      <c r="B7" s="817" t="s">
        <v>332</v>
      </c>
      <c r="C7" s="587"/>
      <c r="D7" s="588">
        <f>SUM(D2:D6)</f>
        <v>12536942.760000002</v>
      </c>
    </row>
    <row r="8" spans="1:8" ht="30" x14ac:dyDescent="0.25">
      <c r="A8" s="904"/>
      <c r="B8" s="603" t="s">
        <v>333</v>
      </c>
      <c r="C8" s="585" t="s">
        <v>334</v>
      </c>
      <c r="D8" s="586">
        <v>105765196.27</v>
      </c>
    </row>
    <row r="9" spans="1:8" x14ac:dyDescent="0.25">
      <c r="A9" s="904"/>
      <c r="B9" s="818"/>
      <c r="C9" s="585" t="s">
        <v>335</v>
      </c>
      <c r="D9" s="586">
        <v>554781.74</v>
      </c>
    </row>
    <row r="10" spans="1:8" x14ac:dyDescent="0.25">
      <c r="A10" s="904"/>
      <c r="B10" s="818"/>
      <c r="C10" s="585" t="s">
        <v>336</v>
      </c>
      <c r="D10" s="586">
        <v>94510029.780000001</v>
      </c>
    </row>
    <row r="11" spans="1:8" x14ac:dyDescent="0.25">
      <c r="A11" s="904"/>
      <c r="B11" s="818"/>
      <c r="C11" s="585" t="s">
        <v>337</v>
      </c>
      <c r="D11" s="586">
        <v>526730580.19</v>
      </c>
    </row>
    <row r="12" spans="1:8" x14ac:dyDescent="0.25">
      <c r="A12" s="904"/>
      <c r="B12" s="818"/>
      <c r="C12" s="585" t="s">
        <v>338</v>
      </c>
      <c r="D12" s="586">
        <v>101197698.93000001</v>
      </c>
    </row>
    <row r="13" spans="1:8" x14ac:dyDescent="0.25">
      <c r="A13" s="904"/>
      <c r="B13" s="818"/>
      <c r="C13" s="585" t="s">
        <v>339</v>
      </c>
      <c r="D13" s="586">
        <v>1728302.19</v>
      </c>
    </row>
    <row r="14" spans="1:8" x14ac:dyDescent="0.25">
      <c r="A14" s="904"/>
      <c r="B14" s="818"/>
      <c r="C14" s="585" t="s">
        <v>340</v>
      </c>
      <c r="D14" s="586">
        <v>31412</v>
      </c>
    </row>
    <row r="15" spans="1:8" x14ac:dyDescent="0.25">
      <c r="A15" s="904"/>
      <c r="B15" s="818"/>
      <c r="C15" s="585" t="s">
        <v>341</v>
      </c>
      <c r="D15" s="586">
        <v>3957.02</v>
      </c>
    </row>
    <row r="16" spans="1:8" x14ac:dyDescent="0.25">
      <c r="A16" s="904"/>
      <c r="B16" s="818"/>
      <c r="C16" s="585" t="s">
        <v>342</v>
      </c>
      <c r="D16" s="586">
        <v>956126.41</v>
      </c>
    </row>
    <row r="17" spans="1:4" x14ac:dyDescent="0.25">
      <c r="A17" s="904"/>
      <c r="B17" s="818"/>
      <c r="C17" s="585" t="s">
        <v>343</v>
      </c>
      <c r="D17" s="586">
        <v>1647901.88</v>
      </c>
    </row>
    <row r="18" spans="1:4" x14ac:dyDescent="0.25">
      <c r="A18" s="904"/>
      <c r="B18" s="818"/>
      <c r="C18" s="585" t="s">
        <v>344</v>
      </c>
      <c r="D18" s="586">
        <v>11172.06</v>
      </c>
    </row>
    <row r="19" spans="1:4" x14ac:dyDescent="0.25">
      <c r="A19" s="904"/>
      <c r="B19" s="817" t="s">
        <v>345</v>
      </c>
      <c r="C19" s="587"/>
      <c r="D19" s="591">
        <f>SUM(D8:D18)</f>
        <v>833137158.47000003</v>
      </c>
    </row>
    <row r="20" spans="1:4" ht="30" x14ac:dyDescent="0.25">
      <c r="A20" s="904"/>
      <c r="B20" s="1044" t="s">
        <v>346</v>
      </c>
      <c r="C20" s="585" t="s">
        <v>347</v>
      </c>
      <c r="D20" s="592">
        <v>4961006.47</v>
      </c>
    </row>
    <row r="21" spans="1:4" ht="30" x14ac:dyDescent="0.25">
      <c r="A21" s="904"/>
      <c r="B21" s="1045"/>
      <c r="C21" s="585" t="s">
        <v>348</v>
      </c>
      <c r="D21" s="592">
        <v>4780.78</v>
      </c>
    </row>
    <row r="22" spans="1:4" x14ac:dyDescent="0.25">
      <c r="A22" s="904"/>
      <c r="B22" s="1046"/>
      <c r="C22" s="585" t="s">
        <v>349</v>
      </c>
      <c r="D22" s="592">
        <v>126045.27</v>
      </c>
    </row>
    <row r="23" spans="1:4" x14ac:dyDescent="0.25">
      <c r="A23" s="905"/>
      <c r="B23" s="817" t="s">
        <v>350</v>
      </c>
      <c r="C23" s="587"/>
      <c r="D23" s="588">
        <f>SUM(D20:D22)</f>
        <v>5091832.5199999996</v>
      </c>
    </row>
    <row r="24" spans="1:4" x14ac:dyDescent="0.25">
      <c r="A24" s="902" t="s">
        <v>351</v>
      </c>
      <c r="B24" s="593"/>
      <c r="C24" s="593"/>
      <c r="D24" s="594">
        <f>D7+D19+D23</f>
        <v>850765933.75</v>
      </c>
    </row>
    <row r="25" spans="1:4" ht="30" x14ac:dyDescent="0.25">
      <c r="A25" s="906" t="s">
        <v>352</v>
      </c>
      <c r="B25" s="603" t="s">
        <v>353</v>
      </c>
      <c r="C25" s="585" t="s">
        <v>354</v>
      </c>
      <c r="D25" s="586">
        <v>2196133</v>
      </c>
    </row>
    <row r="26" spans="1:4" x14ac:dyDescent="0.25">
      <c r="A26" s="904"/>
      <c r="B26" s="818"/>
      <c r="C26" s="585" t="s">
        <v>355</v>
      </c>
      <c r="D26" s="586">
        <v>10847.77</v>
      </c>
    </row>
    <row r="27" spans="1:4" x14ac:dyDescent="0.25">
      <c r="A27" s="904"/>
      <c r="B27" s="818"/>
      <c r="C27" s="585" t="s">
        <v>356</v>
      </c>
      <c r="D27" s="586">
        <v>1565048.07</v>
      </c>
    </row>
    <row r="28" spans="1:4" x14ac:dyDescent="0.25">
      <c r="A28" s="904"/>
      <c r="B28" s="818"/>
      <c r="C28" s="585" t="s">
        <v>357</v>
      </c>
      <c r="D28" s="586">
        <v>53212.38</v>
      </c>
    </row>
    <row r="29" spans="1:4" x14ac:dyDescent="0.25">
      <c r="A29" s="904"/>
      <c r="B29" s="818"/>
      <c r="C29" s="585" t="s">
        <v>358</v>
      </c>
      <c r="D29" s="586">
        <v>1094558.3799999999</v>
      </c>
    </row>
    <row r="30" spans="1:4" x14ac:dyDescent="0.25">
      <c r="A30" s="904"/>
      <c r="B30" s="818"/>
      <c r="C30" s="585" t="s">
        <v>359</v>
      </c>
      <c r="D30" s="586">
        <v>24213.38</v>
      </c>
    </row>
    <row r="31" spans="1:4" x14ac:dyDescent="0.25">
      <c r="A31" s="904"/>
      <c r="B31" s="817" t="s">
        <v>360</v>
      </c>
      <c r="C31" s="587"/>
      <c r="D31" s="588">
        <f>SUM(D25:D30)</f>
        <v>4944012.9799999995</v>
      </c>
    </row>
    <row r="32" spans="1:4" ht="30" x14ac:dyDescent="0.25">
      <c r="A32" s="904"/>
      <c r="B32" s="603" t="s">
        <v>361</v>
      </c>
      <c r="C32" s="585" t="s">
        <v>362</v>
      </c>
      <c r="D32" s="586">
        <v>241498.7</v>
      </c>
    </row>
    <row r="33" spans="1:4" x14ac:dyDescent="0.25">
      <c r="A33" s="904"/>
      <c r="B33" s="818"/>
      <c r="C33" s="585" t="s">
        <v>363</v>
      </c>
      <c r="D33" s="586">
        <v>1311000.74</v>
      </c>
    </row>
    <row r="34" spans="1:4" x14ac:dyDescent="0.25">
      <c r="A34" s="904"/>
      <c r="B34" s="818"/>
      <c r="C34" s="585" t="s">
        <v>364</v>
      </c>
      <c r="D34" s="586">
        <v>0</v>
      </c>
    </row>
    <row r="35" spans="1:4" x14ac:dyDescent="0.25">
      <c r="A35" s="904"/>
      <c r="B35" s="817" t="s">
        <v>365</v>
      </c>
      <c r="C35" s="587"/>
      <c r="D35" s="588">
        <f>SUM(D32:D34)</f>
        <v>1552499.44</v>
      </c>
    </row>
    <row r="36" spans="1:4" ht="30" x14ac:dyDescent="0.25">
      <c r="A36" s="904"/>
      <c r="B36" s="603" t="s">
        <v>366</v>
      </c>
      <c r="C36" s="585" t="s">
        <v>362</v>
      </c>
      <c r="D36" s="586">
        <v>7361553.1900000004</v>
      </c>
    </row>
    <row r="37" spans="1:4" x14ac:dyDescent="0.25">
      <c r="A37" s="904"/>
      <c r="B37" s="820"/>
      <c r="C37" s="585" t="s">
        <v>367</v>
      </c>
      <c r="D37" s="586">
        <v>440980.99</v>
      </c>
    </row>
    <row r="38" spans="1:4" x14ac:dyDescent="0.25">
      <c r="A38" s="904"/>
      <c r="B38" s="818"/>
      <c r="C38" s="585" t="s">
        <v>368</v>
      </c>
      <c r="D38" s="586">
        <v>17752851.420000002</v>
      </c>
    </row>
    <row r="39" spans="1:4" x14ac:dyDescent="0.25">
      <c r="A39" s="904"/>
      <c r="B39" s="818"/>
      <c r="C39" s="585" t="s">
        <v>369</v>
      </c>
      <c r="D39" s="586">
        <v>66790004.960000001</v>
      </c>
    </row>
    <row r="40" spans="1:4" x14ac:dyDescent="0.25">
      <c r="A40" s="904"/>
      <c r="B40" s="818"/>
      <c r="C40" s="585" t="s">
        <v>370</v>
      </c>
      <c r="D40" s="586">
        <v>0</v>
      </c>
    </row>
    <row r="41" spans="1:4" x14ac:dyDescent="0.25">
      <c r="A41" s="904"/>
      <c r="B41" s="818"/>
      <c r="C41" s="585" t="s">
        <v>364</v>
      </c>
      <c r="D41" s="586">
        <v>4935883.74</v>
      </c>
    </row>
    <row r="42" spans="1:4" x14ac:dyDescent="0.25">
      <c r="A42" s="904"/>
      <c r="B42" s="817" t="s">
        <v>371</v>
      </c>
      <c r="C42" s="587"/>
      <c r="D42" s="588">
        <f>SUM(D36:D41)</f>
        <v>97281274.299999997</v>
      </c>
    </row>
    <row r="43" spans="1:4" x14ac:dyDescent="0.25">
      <c r="A43" s="904"/>
      <c r="B43" s="603" t="s">
        <v>372</v>
      </c>
      <c r="C43" s="585" t="s">
        <v>373</v>
      </c>
      <c r="D43" s="586">
        <v>115793.21</v>
      </c>
    </row>
    <row r="44" spans="1:4" x14ac:dyDescent="0.25">
      <c r="A44" s="904"/>
      <c r="B44" s="818"/>
      <c r="C44" s="585" t="s">
        <v>374</v>
      </c>
      <c r="D44" s="586">
        <v>198135054.75</v>
      </c>
    </row>
    <row r="45" spans="1:4" x14ac:dyDescent="0.25">
      <c r="A45" s="905"/>
      <c r="B45" s="817" t="s">
        <v>375</v>
      </c>
      <c r="C45" s="587"/>
      <c r="D45" s="588">
        <f>SUM(D43:D44)</f>
        <v>198250847.96000001</v>
      </c>
    </row>
    <row r="46" spans="1:4" x14ac:dyDescent="0.25">
      <c r="A46" s="819" t="s">
        <v>376</v>
      </c>
      <c r="B46" s="593"/>
      <c r="C46" s="593"/>
      <c r="D46" s="595">
        <f>D31+D35+D42+D45</f>
        <v>302028634.68000001</v>
      </c>
    </row>
    <row r="47" spans="1:4" ht="30" x14ac:dyDescent="0.25">
      <c r="A47" s="906" t="s">
        <v>377</v>
      </c>
      <c r="B47" s="603" t="s">
        <v>378</v>
      </c>
      <c r="C47" s="585" t="s">
        <v>379</v>
      </c>
      <c r="D47" s="586">
        <v>783620.73</v>
      </c>
    </row>
    <row r="48" spans="1:4" x14ac:dyDescent="0.25">
      <c r="A48" s="904"/>
      <c r="B48" s="818"/>
      <c r="C48" s="585" t="s">
        <v>380</v>
      </c>
      <c r="D48" s="586">
        <v>916910.53</v>
      </c>
    </row>
    <row r="49" spans="1:4" x14ac:dyDescent="0.25">
      <c r="A49" s="905"/>
      <c r="B49" s="817" t="s">
        <v>381</v>
      </c>
      <c r="C49" s="587"/>
      <c r="D49" s="588">
        <f>SUM(D47:D48)</f>
        <v>1700531.26</v>
      </c>
    </row>
    <row r="50" spans="1:4" ht="16.5" thickBot="1" x14ac:dyDescent="0.3">
      <c r="A50" s="821" t="s">
        <v>382</v>
      </c>
      <c r="B50" s="610"/>
      <c r="C50" s="610"/>
      <c r="D50" s="611">
        <f>D49</f>
        <v>1700531.26</v>
      </c>
    </row>
    <row r="51" spans="1:4" ht="16.5" thickBot="1" x14ac:dyDescent="0.3">
      <c r="A51" s="596" t="s">
        <v>383</v>
      </c>
      <c r="B51" s="597"/>
      <c r="C51" s="597"/>
      <c r="D51" s="598">
        <f>D24+D46+D50</f>
        <v>1154495099.6900001</v>
      </c>
    </row>
    <row r="52" spans="1:4" x14ac:dyDescent="0.25">
      <c r="D52" s="410" t="s">
        <v>540</v>
      </c>
    </row>
  </sheetData>
  <mergeCells count="3">
    <mergeCell ref="A1:D1"/>
    <mergeCell ref="B2:B6"/>
    <mergeCell ref="B20:B22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6" workbookViewId="0">
      <selection activeCell="E26" sqref="E26"/>
    </sheetView>
  </sheetViews>
  <sheetFormatPr defaultRowHeight="15.75" x14ac:dyDescent="0.25"/>
  <cols>
    <col min="1" max="1" width="14.28515625" style="113" customWidth="1"/>
    <col min="2" max="2" width="25" style="411" customWidth="1"/>
    <col min="3" max="3" width="34.7109375" style="113" customWidth="1"/>
    <col min="4" max="4" width="14.5703125" style="113" customWidth="1"/>
    <col min="5" max="5" width="21.7109375" style="113" customWidth="1"/>
    <col min="6" max="6" width="25.140625" style="113" customWidth="1"/>
    <col min="7" max="7" width="17.28515625" style="113" bestFit="1" customWidth="1"/>
    <col min="8" max="8" width="17.42578125" style="113" bestFit="1" customWidth="1"/>
    <col min="9" max="16384" width="9.140625" style="113"/>
  </cols>
  <sheetData>
    <row r="1" spans="1:4" ht="21.75" thickBot="1" x14ac:dyDescent="0.3">
      <c r="A1" s="1040" t="s">
        <v>543</v>
      </c>
      <c r="B1" s="1040"/>
      <c r="C1" s="1040"/>
      <c r="D1" s="1040"/>
    </row>
    <row r="2" spans="1:4" x14ac:dyDescent="0.25">
      <c r="A2" s="1047" t="s">
        <v>384</v>
      </c>
      <c r="B2" s="1050" t="s">
        <v>385</v>
      </c>
      <c r="C2" s="599" t="s">
        <v>386</v>
      </c>
      <c r="D2" s="584">
        <v>470557845.77999997</v>
      </c>
    </row>
    <row r="3" spans="1:4" x14ac:dyDescent="0.25">
      <c r="A3" s="1048"/>
      <c r="B3" s="1051"/>
      <c r="C3" s="600" t="s">
        <v>387</v>
      </c>
      <c r="D3" s="586">
        <v>6159224.6399999997</v>
      </c>
    </row>
    <row r="4" spans="1:4" x14ac:dyDescent="0.25">
      <c r="A4" s="1048"/>
      <c r="B4" s="1051"/>
      <c r="C4" s="600" t="s">
        <v>388</v>
      </c>
      <c r="D4" s="586">
        <v>83640997.890000001</v>
      </c>
    </row>
    <row r="5" spans="1:4" ht="30" x14ac:dyDescent="0.25">
      <c r="A5" s="1048"/>
      <c r="B5" s="1051"/>
      <c r="C5" s="600" t="s">
        <v>389</v>
      </c>
      <c r="D5" s="586">
        <v>325960.77</v>
      </c>
    </row>
    <row r="6" spans="1:4" x14ac:dyDescent="0.25">
      <c r="A6" s="1048"/>
      <c r="B6" s="1051"/>
      <c r="C6" s="600" t="s">
        <v>390</v>
      </c>
      <c r="D6" s="586">
        <v>15490410.029999999</v>
      </c>
    </row>
    <row r="7" spans="1:4" x14ac:dyDescent="0.25">
      <c r="A7" s="1048"/>
      <c r="B7" s="1051"/>
      <c r="C7" s="600" t="s">
        <v>391</v>
      </c>
      <c r="D7" s="586">
        <v>91126.35</v>
      </c>
    </row>
    <row r="8" spans="1:4" x14ac:dyDescent="0.25">
      <c r="A8" s="1048"/>
      <c r="B8" s="1052"/>
      <c r="C8" s="600" t="s">
        <v>392</v>
      </c>
      <c r="D8" s="586">
        <v>7115177.29</v>
      </c>
    </row>
    <row r="9" spans="1:4" x14ac:dyDescent="0.25">
      <c r="A9" s="1048"/>
      <c r="B9" s="1053" t="s">
        <v>393</v>
      </c>
      <c r="C9" s="1054"/>
      <c r="D9" s="586">
        <f>SUM(D2:D8)</f>
        <v>583380742.74999988</v>
      </c>
    </row>
    <row r="10" spans="1:4" ht="30" x14ac:dyDescent="0.25">
      <c r="A10" s="1048"/>
      <c r="B10" s="1055" t="s">
        <v>394</v>
      </c>
      <c r="C10" s="600" t="s">
        <v>395</v>
      </c>
      <c r="D10" s="586">
        <v>960526.99</v>
      </c>
    </row>
    <row r="11" spans="1:4" ht="30" x14ac:dyDescent="0.25">
      <c r="A11" s="1048"/>
      <c r="B11" s="1056"/>
      <c r="C11" s="600" t="s">
        <v>396</v>
      </c>
      <c r="D11" s="586">
        <v>11099910.300000001</v>
      </c>
    </row>
    <row r="12" spans="1:4" x14ac:dyDescent="0.25">
      <c r="A12" s="1049"/>
      <c r="B12" s="1057" t="s">
        <v>397</v>
      </c>
      <c r="C12" s="1058"/>
      <c r="D12" s="586">
        <f>SUM(D10:D11)</f>
        <v>12060437.290000001</v>
      </c>
    </row>
    <row r="13" spans="1:4" x14ac:dyDescent="0.25">
      <c r="A13" s="601" t="s">
        <v>398</v>
      </c>
      <c r="B13" s="602"/>
      <c r="C13" s="593"/>
      <c r="D13" s="586">
        <f>D9+D12</f>
        <v>595441180.03999984</v>
      </c>
    </row>
    <row r="14" spans="1:4" x14ac:dyDescent="0.25">
      <c r="A14" s="1060" t="s">
        <v>399</v>
      </c>
      <c r="B14" s="1063" t="s">
        <v>400</v>
      </c>
      <c r="C14" s="589" t="s">
        <v>400</v>
      </c>
      <c r="D14" s="586">
        <v>0</v>
      </c>
    </row>
    <row r="15" spans="1:4" x14ac:dyDescent="0.25">
      <c r="A15" s="1061"/>
      <c r="B15" s="1064"/>
      <c r="C15" s="603" t="s">
        <v>401</v>
      </c>
      <c r="D15" s="586">
        <v>7330983.3899999997</v>
      </c>
    </row>
    <row r="16" spans="1:4" x14ac:dyDescent="0.25">
      <c r="A16" s="1061"/>
      <c r="B16" s="589" t="s">
        <v>402</v>
      </c>
      <c r="C16" s="593"/>
      <c r="D16" s="586">
        <f>SUM(D14:D15)</f>
        <v>7330983.3899999997</v>
      </c>
    </row>
    <row r="17" spans="1:4" x14ac:dyDescent="0.25">
      <c r="A17" s="1061"/>
      <c r="B17" s="1063" t="s">
        <v>403</v>
      </c>
      <c r="C17" s="600" t="s">
        <v>404</v>
      </c>
      <c r="D17" s="586">
        <v>990651.32</v>
      </c>
    </row>
    <row r="18" spans="1:4" x14ac:dyDescent="0.25">
      <c r="A18" s="1061"/>
      <c r="B18" s="1064"/>
      <c r="C18" s="600" t="s">
        <v>405</v>
      </c>
      <c r="D18" s="586">
        <v>44884</v>
      </c>
    </row>
    <row r="19" spans="1:4" x14ac:dyDescent="0.25">
      <c r="A19" s="1061"/>
      <c r="B19" s="1065"/>
      <c r="C19" s="600" t="s">
        <v>406</v>
      </c>
      <c r="D19" s="586">
        <v>29551.79</v>
      </c>
    </row>
    <row r="20" spans="1:4" x14ac:dyDescent="0.25">
      <c r="A20" s="1061"/>
      <c r="B20" s="589" t="s">
        <v>407</v>
      </c>
      <c r="C20" s="604"/>
      <c r="D20" s="586">
        <f>SUM(D17:D19)</f>
        <v>1065087.1099999999</v>
      </c>
    </row>
    <row r="21" spans="1:4" x14ac:dyDescent="0.25">
      <c r="A21" s="1061"/>
      <c r="B21" s="589" t="s">
        <v>408</v>
      </c>
      <c r="C21" s="600" t="s">
        <v>409</v>
      </c>
      <c r="D21" s="586">
        <v>48861919.119999997</v>
      </c>
    </row>
    <row r="22" spans="1:4" x14ac:dyDescent="0.25">
      <c r="A22" s="1061"/>
      <c r="B22" s="590"/>
      <c r="C22" s="600" t="s">
        <v>410</v>
      </c>
      <c r="D22" s="586">
        <v>16804844.170000002</v>
      </c>
    </row>
    <row r="23" spans="1:4" ht="30" x14ac:dyDescent="0.25">
      <c r="A23" s="1061"/>
      <c r="B23" s="590"/>
      <c r="C23" s="600" t="s">
        <v>411</v>
      </c>
      <c r="D23" s="586">
        <v>8946928.9700000007</v>
      </c>
    </row>
    <row r="24" spans="1:4" ht="45" x14ac:dyDescent="0.25">
      <c r="A24" s="1061"/>
      <c r="B24" s="590"/>
      <c r="C24" s="600" t="s">
        <v>412</v>
      </c>
      <c r="D24" s="586">
        <v>43665.73</v>
      </c>
    </row>
    <row r="25" spans="1:4" x14ac:dyDescent="0.25">
      <c r="A25" s="1061"/>
      <c r="B25" s="590"/>
      <c r="C25" s="600" t="s">
        <v>413</v>
      </c>
      <c r="D25" s="586">
        <v>19163108.949999999</v>
      </c>
    </row>
    <row r="26" spans="1:4" x14ac:dyDescent="0.25">
      <c r="A26" s="1061"/>
      <c r="B26" s="590"/>
      <c r="C26" s="600" t="s">
        <v>414</v>
      </c>
      <c r="D26" s="586">
        <v>5523105.5700000003</v>
      </c>
    </row>
    <row r="27" spans="1:4" ht="30" x14ac:dyDescent="0.25">
      <c r="A27" s="1061"/>
      <c r="B27" s="589" t="s">
        <v>415</v>
      </c>
      <c r="C27" s="604"/>
      <c r="D27" s="586">
        <f>SUM(D21:D26)</f>
        <v>99343572.51000002</v>
      </c>
    </row>
    <row r="28" spans="1:4" x14ac:dyDescent="0.25">
      <c r="A28" s="1061"/>
      <c r="B28" s="1066" t="s">
        <v>416</v>
      </c>
      <c r="C28" s="600" t="s">
        <v>417</v>
      </c>
      <c r="D28" s="586">
        <v>260014.67</v>
      </c>
    </row>
    <row r="29" spans="1:4" x14ac:dyDescent="0.25">
      <c r="A29" s="1061"/>
      <c r="B29" s="1067"/>
      <c r="C29" s="600" t="s">
        <v>418</v>
      </c>
      <c r="D29" s="605">
        <v>33937.440000000002</v>
      </c>
    </row>
    <row r="30" spans="1:4" ht="30" x14ac:dyDescent="0.25">
      <c r="A30" s="1061"/>
      <c r="B30" s="1068"/>
      <c r="C30" s="600" t="s">
        <v>419</v>
      </c>
      <c r="D30" s="605">
        <v>0</v>
      </c>
    </row>
    <row r="31" spans="1:4" x14ac:dyDescent="0.25">
      <c r="A31" s="1062"/>
      <c r="B31" s="600" t="s">
        <v>420</v>
      </c>
      <c r="C31" s="606"/>
      <c r="D31" s="586">
        <f>SUM(D28:D30)</f>
        <v>293952.11</v>
      </c>
    </row>
    <row r="32" spans="1:4" x14ac:dyDescent="0.25">
      <c r="A32" s="607" t="s">
        <v>421</v>
      </c>
      <c r="B32" s="587"/>
      <c r="C32" s="604"/>
      <c r="D32" s="803">
        <f>D16+D20+D27+D31</f>
        <v>108033595.12000002</v>
      </c>
    </row>
    <row r="33" spans="1:4" x14ac:dyDescent="0.25">
      <c r="A33" s="1069" t="s">
        <v>377</v>
      </c>
      <c r="B33" s="585" t="s">
        <v>422</v>
      </c>
      <c r="C33" s="585" t="s">
        <v>423</v>
      </c>
      <c r="D33" s="586">
        <v>1574372.05</v>
      </c>
    </row>
    <row r="34" spans="1:4" x14ac:dyDescent="0.25">
      <c r="A34" s="1069"/>
      <c r="B34" s="585"/>
      <c r="C34" s="585" t="s">
        <v>424</v>
      </c>
      <c r="D34" s="586">
        <v>449445952.31</v>
      </c>
    </row>
    <row r="35" spans="1:4" ht="30" x14ac:dyDescent="0.25">
      <c r="A35" s="1069"/>
      <c r="B35" s="585" t="s">
        <v>425</v>
      </c>
      <c r="C35" s="585"/>
      <c r="D35" s="586">
        <f>SUM(D33:D34)</f>
        <v>451020324.36000001</v>
      </c>
    </row>
    <row r="36" spans="1:4" ht="16.5" thickBot="1" x14ac:dyDescent="0.3">
      <c r="A36" s="601" t="s">
        <v>382</v>
      </c>
      <c r="B36" s="587"/>
      <c r="C36" s="604"/>
      <c r="D36" s="803">
        <f>D35</f>
        <v>451020324.36000001</v>
      </c>
    </row>
    <row r="37" spans="1:4" ht="16.5" thickBot="1" x14ac:dyDescent="0.3">
      <c r="A37" s="608" t="s">
        <v>426</v>
      </c>
      <c r="B37" s="609"/>
      <c r="C37" s="609"/>
      <c r="D37" s="598">
        <f>D13+D32+D36</f>
        <v>1154495099.52</v>
      </c>
    </row>
    <row r="38" spans="1:4" x14ac:dyDescent="0.25">
      <c r="D38" s="410" t="s">
        <v>540</v>
      </c>
    </row>
    <row r="39" spans="1:4" x14ac:dyDescent="0.25">
      <c r="A39" s="1059"/>
      <c r="B39" s="1059"/>
      <c r="C39" s="1059"/>
      <c r="D39" s="1059"/>
    </row>
  </sheetData>
  <mergeCells count="12">
    <mergeCell ref="A39:D39"/>
    <mergeCell ref="A14:A31"/>
    <mergeCell ref="B14:B15"/>
    <mergeCell ref="B17:B19"/>
    <mergeCell ref="B28:B30"/>
    <mergeCell ref="A33:A35"/>
    <mergeCell ref="A1:D1"/>
    <mergeCell ref="A2:A12"/>
    <mergeCell ref="B2:B8"/>
    <mergeCell ref="B9:C9"/>
    <mergeCell ref="B10:B11"/>
    <mergeCell ref="B12:C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E48" sqref="E48"/>
    </sheetView>
  </sheetViews>
  <sheetFormatPr defaultRowHeight="15.75" x14ac:dyDescent="0.25"/>
  <cols>
    <col min="1" max="1" width="37.28515625" style="414" customWidth="1"/>
    <col min="2" max="2" width="16.5703125" style="414" customWidth="1"/>
    <col min="3" max="3" width="10.28515625" style="417" customWidth="1"/>
    <col min="4" max="4" width="14.5703125" style="414" customWidth="1"/>
    <col min="5" max="5" width="9.140625" style="418"/>
    <col min="6" max="6" width="15.140625" style="414" customWidth="1"/>
    <col min="7" max="7" width="8.28515625" style="414" customWidth="1"/>
    <col min="8" max="8" width="2.7109375" style="414" customWidth="1"/>
    <col min="9" max="9" width="6.28515625" style="414" customWidth="1"/>
    <col min="10" max="14" width="14.85546875" style="414" customWidth="1"/>
    <col min="15" max="16384" width="9.140625" style="414"/>
  </cols>
  <sheetData>
    <row r="1" spans="1:13" ht="21.75" thickBot="1" x14ac:dyDescent="0.3">
      <c r="A1" s="1038" t="s">
        <v>601</v>
      </c>
      <c r="B1" s="1038"/>
      <c r="C1" s="1038"/>
      <c r="D1" s="1038"/>
      <c r="E1" s="1038"/>
      <c r="F1" s="1038"/>
      <c r="G1" s="1038"/>
      <c r="H1" s="413"/>
      <c r="I1" s="413"/>
      <c r="J1" s="413"/>
      <c r="K1" s="413"/>
      <c r="L1" s="413"/>
      <c r="M1" s="413"/>
    </row>
    <row r="2" spans="1:13" s="415" customFormat="1" ht="45.75" thickBot="1" x14ac:dyDescent="0.3">
      <c r="A2" s="395" t="s">
        <v>210</v>
      </c>
      <c r="B2" s="616" t="s">
        <v>427</v>
      </c>
      <c r="C2" s="617" t="s">
        <v>79</v>
      </c>
      <c r="D2" s="616" t="s">
        <v>428</v>
      </c>
      <c r="E2" s="618" t="s">
        <v>79</v>
      </c>
      <c r="F2" s="616" t="s">
        <v>429</v>
      </c>
      <c r="G2" s="619" t="s">
        <v>79</v>
      </c>
    </row>
    <row r="3" spans="1:13" s="416" customFormat="1" ht="15" x14ac:dyDescent="0.25">
      <c r="A3" s="669" t="s">
        <v>430</v>
      </c>
      <c r="B3" s="650">
        <v>856553.64</v>
      </c>
      <c r="C3" s="621">
        <f t="shared" ref="C3:C37" si="0">B3/$B$38</f>
        <v>1.4567160833519779E-3</v>
      </c>
      <c r="D3" s="620">
        <v>2526805.54</v>
      </c>
      <c r="E3" s="621">
        <f t="shared" ref="E3:E37" si="1">D3/$D$38</f>
        <v>9.3979606801055063E-2</v>
      </c>
      <c r="F3" s="612">
        <f t="shared" ref="F3:F42" si="2">B3+D3</f>
        <v>3383359.18</v>
      </c>
      <c r="G3" s="613">
        <f t="shared" ref="G3:G37" si="3">F3/$F$38</f>
        <v>5.5023821982534164E-3</v>
      </c>
    </row>
    <row r="4" spans="1:13" s="416" customFormat="1" ht="15" x14ac:dyDescent="0.25">
      <c r="A4" s="670" t="s">
        <v>431</v>
      </c>
      <c r="B4" s="651">
        <v>38461663.539999999</v>
      </c>
      <c r="C4" s="623">
        <f t="shared" si="0"/>
        <v>6.5410642433543761E-2</v>
      </c>
      <c r="D4" s="622">
        <v>16217380.09</v>
      </c>
      <c r="E4" s="623">
        <f t="shared" si="1"/>
        <v>0.60317384146682651</v>
      </c>
      <c r="F4" s="393">
        <f t="shared" si="2"/>
        <v>54679043.629999995</v>
      </c>
      <c r="G4" s="614">
        <f t="shared" si="3"/>
        <v>8.8924935332238011E-2</v>
      </c>
    </row>
    <row r="5" spans="1:13" s="416" customFormat="1" ht="15" x14ac:dyDescent="0.25">
      <c r="A5" s="670" t="s">
        <v>432</v>
      </c>
      <c r="B5" s="651">
        <v>4713859.18</v>
      </c>
      <c r="C5" s="623">
        <f t="shared" si="0"/>
        <v>8.016724419223022E-3</v>
      </c>
      <c r="D5" s="622">
        <v>685558.6</v>
      </c>
      <c r="E5" s="623">
        <f t="shared" si="1"/>
        <v>2.5498015833494564E-2</v>
      </c>
      <c r="F5" s="393">
        <f t="shared" si="2"/>
        <v>5399417.7799999993</v>
      </c>
      <c r="G5" s="614">
        <f t="shared" si="3"/>
        <v>8.7811132939202095E-3</v>
      </c>
    </row>
    <row r="6" spans="1:13" s="416" customFormat="1" ht="30" x14ac:dyDescent="0.25">
      <c r="A6" s="670" t="s">
        <v>433</v>
      </c>
      <c r="B6" s="651">
        <v>0</v>
      </c>
      <c r="C6" s="623">
        <f t="shared" si="0"/>
        <v>0</v>
      </c>
      <c r="D6" s="622">
        <v>0</v>
      </c>
      <c r="E6" s="623">
        <f t="shared" si="1"/>
        <v>0</v>
      </c>
      <c r="F6" s="393">
        <f t="shared" si="2"/>
        <v>0</v>
      </c>
      <c r="G6" s="614">
        <f t="shared" si="3"/>
        <v>0</v>
      </c>
    </row>
    <row r="7" spans="1:13" s="416" customFormat="1" ht="15" x14ac:dyDescent="0.25">
      <c r="A7" s="670" t="s">
        <v>434</v>
      </c>
      <c r="B7" s="651">
        <v>0</v>
      </c>
      <c r="C7" s="623">
        <f t="shared" si="0"/>
        <v>0</v>
      </c>
      <c r="D7" s="622">
        <v>0</v>
      </c>
      <c r="E7" s="623">
        <f t="shared" si="1"/>
        <v>0</v>
      </c>
      <c r="F7" s="393">
        <f t="shared" si="2"/>
        <v>0</v>
      </c>
      <c r="G7" s="614">
        <f t="shared" si="3"/>
        <v>0</v>
      </c>
    </row>
    <row r="8" spans="1:13" s="416" customFormat="1" ht="15" x14ac:dyDescent="0.25">
      <c r="A8" s="670" t="s">
        <v>435</v>
      </c>
      <c r="B8" s="651">
        <v>176712.95</v>
      </c>
      <c r="C8" s="623">
        <f t="shared" si="0"/>
        <v>3.0053061989389703E-4</v>
      </c>
      <c r="D8" s="622">
        <v>-6610.9</v>
      </c>
      <c r="E8" s="623">
        <f t="shared" si="1"/>
        <v>-2.458795395078542E-4</v>
      </c>
      <c r="F8" s="393">
        <f t="shared" si="2"/>
        <v>170102.05000000002</v>
      </c>
      <c r="G8" s="614">
        <f t="shared" si="3"/>
        <v>2.7663822905329624E-4</v>
      </c>
    </row>
    <row r="9" spans="1:13" s="416" customFormat="1" ht="15" x14ac:dyDescent="0.25">
      <c r="A9" s="670" t="s">
        <v>436</v>
      </c>
      <c r="B9" s="651">
        <v>570</v>
      </c>
      <c r="C9" s="623">
        <f t="shared" si="0"/>
        <v>9.693825683942308E-7</v>
      </c>
      <c r="D9" s="622">
        <v>14714.53</v>
      </c>
      <c r="E9" s="623">
        <f t="shared" si="1"/>
        <v>5.4727826173055205E-4</v>
      </c>
      <c r="F9" s="393">
        <f t="shared" si="2"/>
        <v>15284.53</v>
      </c>
      <c r="G9" s="614">
        <f t="shared" si="3"/>
        <v>2.4857344818078194E-5</v>
      </c>
    </row>
    <row r="10" spans="1:13" s="416" customFormat="1" ht="15" x14ac:dyDescent="0.25">
      <c r="A10" s="670" t="s">
        <v>437</v>
      </c>
      <c r="B10" s="651">
        <v>39260.33</v>
      </c>
      <c r="C10" s="623">
        <f t="shared" si="0"/>
        <v>6.676891145860539E-5</v>
      </c>
      <c r="D10" s="622">
        <v>225559.28</v>
      </c>
      <c r="E10" s="623">
        <f t="shared" si="1"/>
        <v>8.3892377585689012E-3</v>
      </c>
      <c r="F10" s="393">
        <f t="shared" si="2"/>
        <v>264819.61</v>
      </c>
      <c r="G10" s="614">
        <f t="shared" si="3"/>
        <v>4.3067810134554273E-4</v>
      </c>
    </row>
    <row r="11" spans="1:13" s="416" customFormat="1" ht="30" x14ac:dyDescent="0.25">
      <c r="A11" s="670" t="s">
        <v>438</v>
      </c>
      <c r="B11" s="651">
        <v>923422.67</v>
      </c>
      <c r="C11" s="623">
        <f t="shared" si="0"/>
        <v>1.5704383150141373E-3</v>
      </c>
      <c r="D11" s="622">
        <v>327977.11</v>
      </c>
      <c r="E11" s="623">
        <f t="shared" si="1"/>
        <v>1.2198469312183945E-2</v>
      </c>
      <c r="F11" s="393">
        <f t="shared" si="2"/>
        <v>1251399.78</v>
      </c>
      <c r="G11" s="614">
        <f t="shared" si="3"/>
        <v>2.035160769531493E-3</v>
      </c>
    </row>
    <row r="12" spans="1:13" s="416" customFormat="1" ht="30" x14ac:dyDescent="0.25">
      <c r="A12" s="670" t="s">
        <v>439</v>
      </c>
      <c r="B12" s="651">
        <v>0</v>
      </c>
      <c r="C12" s="623">
        <f t="shared" si="0"/>
        <v>0</v>
      </c>
      <c r="D12" s="622">
        <v>0</v>
      </c>
      <c r="E12" s="623">
        <f t="shared" si="1"/>
        <v>0</v>
      </c>
      <c r="F12" s="393">
        <f t="shared" si="2"/>
        <v>0</v>
      </c>
      <c r="G12" s="614">
        <f t="shared" si="3"/>
        <v>0</v>
      </c>
    </row>
    <row r="13" spans="1:13" s="416" customFormat="1" ht="30" x14ac:dyDescent="0.25">
      <c r="A13" s="670" t="s">
        <v>440</v>
      </c>
      <c r="B13" s="651">
        <v>39988.01</v>
      </c>
      <c r="C13" s="623">
        <f t="shared" si="0"/>
        <v>6.8006455857498572E-5</v>
      </c>
      <c r="D13" s="622">
        <v>0</v>
      </c>
      <c r="E13" s="623">
        <f t="shared" si="1"/>
        <v>0</v>
      </c>
      <c r="F13" s="393">
        <f t="shared" si="2"/>
        <v>39988.01</v>
      </c>
      <c r="G13" s="614">
        <f t="shared" si="3"/>
        <v>6.5032798074835083E-5</v>
      </c>
    </row>
    <row r="14" spans="1:13" s="416" customFormat="1" ht="30" x14ac:dyDescent="0.25">
      <c r="A14" s="670" t="s">
        <v>441</v>
      </c>
      <c r="B14" s="651">
        <v>12462.84</v>
      </c>
      <c r="C14" s="623">
        <f t="shared" si="0"/>
        <v>2.1195192716993608E-5</v>
      </c>
      <c r="D14" s="622">
        <v>24229.18</v>
      </c>
      <c r="E14" s="623">
        <f t="shared" si="1"/>
        <v>9.0115712248754504E-4</v>
      </c>
      <c r="F14" s="393">
        <f t="shared" si="2"/>
        <v>36692.020000000004</v>
      </c>
      <c r="G14" s="614">
        <f t="shared" si="3"/>
        <v>5.9672505023826151E-5</v>
      </c>
    </row>
    <row r="15" spans="1:13" s="416" customFormat="1" ht="15" x14ac:dyDescent="0.25">
      <c r="A15" s="670" t="s">
        <v>442</v>
      </c>
      <c r="B15" s="651">
        <v>47364.23</v>
      </c>
      <c r="C15" s="623">
        <f t="shared" si="0"/>
        <v>8.0550980574412432E-5</v>
      </c>
      <c r="D15" s="622">
        <v>1240.77</v>
      </c>
      <c r="E15" s="623">
        <f t="shared" si="1"/>
        <v>4.6148021636261365E-5</v>
      </c>
      <c r="F15" s="393">
        <f t="shared" si="2"/>
        <v>48605</v>
      </c>
      <c r="G15" s="614">
        <f t="shared" si="3"/>
        <v>7.9046673000915998E-5</v>
      </c>
    </row>
    <row r="16" spans="1:13" s="416" customFormat="1" ht="15" x14ac:dyDescent="0.25">
      <c r="A16" s="670" t="s">
        <v>443</v>
      </c>
      <c r="B16" s="651">
        <v>10554.87</v>
      </c>
      <c r="C16" s="623">
        <f t="shared" si="0"/>
        <v>1.7950363139767045E-5</v>
      </c>
      <c r="D16" s="622">
        <v>2137.5300000000002</v>
      </c>
      <c r="E16" s="623">
        <f t="shared" si="1"/>
        <v>7.9501261868160711E-5</v>
      </c>
      <c r="F16" s="393">
        <f t="shared" si="2"/>
        <v>12692.400000000001</v>
      </c>
      <c r="G16" s="614">
        <f t="shared" si="3"/>
        <v>2.0641744520045805E-5</v>
      </c>
    </row>
    <row r="17" spans="1:7" s="416" customFormat="1" ht="15" x14ac:dyDescent="0.25">
      <c r="A17" s="670" t="s">
        <v>444</v>
      </c>
      <c r="B17" s="651">
        <v>131921.06</v>
      </c>
      <c r="C17" s="623">
        <f t="shared" si="0"/>
        <v>2.2435434380366567E-4</v>
      </c>
      <c r="D17" s="622">
        <v>11615.05</v>
      </c>
      <c r="E17" s="623">
        <f t="shared" si="1"/>
        <v>4.3199914464909497E-4</v>
      </c>
      <c r="F17" s="393">
        <f t="shared" si="2"/>
        <v>143536.10999999999</v>
      </c>
      <c r="G17" s="614">
        <f t="shared" si="3"/>
        <v>2.3343384324644599E-4</v>
      </c>
    </row>
    <row r="18" spans="1:7" s="416" customFormat="1" ht="15" x14ac:dyDescent="0.25">
      <c r="A18" s="670" t="s">
        <v>445</v>
      </c>
      <c r="B18" s="651">
        <v>162186.39000000001</v>
      </c>
      <c r="C18" s="623">
        <f t="shared" si="0"/>
        <v>2.7582571806454109E-4</v>
      </c>
      <c r="D18" s="622">
        <v>3042.9</v>
      </c>
      <c r="E18" s="623">
        <f t="shared" si="1"/>
        <v>1.1317473426741436E-4</v>
      </c>
      <c r="F18" s="393">
        <f t="shared" si="2"/>
        <v>165229.29</v>
      </c>
      <c r="G18" s="614">
        <f t="shared" si="3"/>
        <v>2.6871362322402058E-4</v>
      </c>
    </row>
    <row r="19" spans="1:7" s="416" customFormat="1" ht="15" x14ac:dyDescent="0.25">
      <c r="A19" s="670" t="s">
        <v>446</v>
      </c>
      <c r="B19" s="651">
        <v>59741.24</v>
      </c>
      <c r="C19" s="623">
        <f t="shared" si="0"/>
        <v>1.0160020468465993E-4</v>
      </c>
      <c r="D19" s="622">
        <v>0</v>
      </c>
      <c r="E19" s="623">
        <f t="shared" si="1"/>
        <v>0</v>
      </c>
      <c r="F19" s="393">
        <f t="shared" si="2"/>
        <v>59741.24</v>
      </c>
      <c r="G19" s="614">
        <f t="shared" si="3"/>
        <v>9.7157622938982466E-5</v>
      </c>
    </row>
    <row r="20" spans="1:7" s="416" customFormat="1" ht="15" x14ac:dyDescent="0.25">
      <c r="A20" s="670" t="s">
        <v>447</v>
      </c>
      <c r="B20" s="651">
        <v>8947.15</v>
      </c>
      <c r="C20" s="623">
        <f t="shared" si="0"/>
        <v>1.5216160082120074E-5</v>
      </c>
      <c r="D20" s="622">
        <v>2251.5500000000002</v>
      </c>
      <c r="E20" s="623">
        <f t="shared" si="1"/>
        <v>8.3742013519930603E-5</v>
      </c>
      <c r="F20" s="393">
        <f t="shared" si="2"/>
        <v>11198.7</v>
      </c>
      <c r="G20" s="614">
        <f t="shared" si="3"/>
        <v>1.8212529100614299E-5</v>
      </c>
    </row>
    <row r="21" spans="1:7" s="416" customFormat="1" ht="15" x14ac:dyDescent="0.25">
      <c r="A21" s="670" t="s">
        <v>448</v>
      </c>
      <c r="B21" s="651">
        <v>0</v>
      </c>
      <c r="C21" s="623">
        <f t="shared" si="0"/>
        <v>0</v>
      </c>
      <c r="D21" s="622">
        <v>0</v>
      </c>
      <c r="E21" s="623">
        <f t="shared" si="1"/>
        <v>0</v>
      </c>
      <c r="F21" s="393">
        <f t="shared" si="2"/>
        <v>0</v>
      </c>
      <c r="G21" s="614">
        <f t="shared" si="3"/>
        <v>0</v>
      </c>
    </row>
    <row r="22" spans="1:7" s="416" customFormat="1" ht="15" x14ac:dyDescent="0.25">
      <c r="A22" s="670" t="s">
        <v>449</v>
      </c>
      <c r="B22" s="651">
        <v>66964676.420000002</v>
      </c>
      <c r="C22" s="623">
        <f t="shared" si="0"/>
        <v>0.11388489477141787</v>
      </c>
      <c r="D22" s="622">
        <v>2519305.38</v>
      </c>
      <c r="E22" s="623">
        <f t="shared" si="1"/>
        <v>9.3700652969196274E-2</v>
      </c>
      <c r="F22" s="393">
        <f t="shared" si="2"/>
        <v>69483981.799999997</v>
      </c>
      <c r="G22" s="614">
        <f t="shared" si="3"/>
        <v>0.11300231639021086</v>
      </c>
    </row>
    <row r="23" spans="1:7" s="416" customFormat="1" ht="30" x14ac:dyDescent="0.25">
      <c r="A23" s="670" t="s">
        <v>450</v>
      </c>
      <c r="B23" s="651">
        <v>4420298.22</v>
      </c>
      <c r="C23" s="623">
        <f t="shared" si="0"/>
        <v>7.5174737571439415E-3</v>
      </c>
      <c r="D23" s="622">
        <v>6329.5</v>
      </c>
      <c r="E23" s="623">
        <f t="shared" si="1"/>
        <v>2.3541341501383522E-4</v>
      </c>
      <c r="F23" s="393">
        <f t="shared" si="2"/>
        <v>4426627.72</v>
      </c>
      <c r="G23" s="614">
        <f t="shared" si="3"/>
        <v>7.1990575841915511E-3</v>
      </c>
    </row>
    <row r="24" spans="1:7" s="416" customFormat="1" ht="30" x14ac:dyDescent="0.25">
      <c r="A24" s="670" t="s">
        <v>451</v>
      </c>
      <c r="B24" s="651">
        <v>7.44</v>
      </c>
      <c r="C24" s="623">
        <f t="shared" si="0"/>
        <v>1.2652993524303645E-8</v>
      </c>
      <c r="D24" s="622">
        <v>0</v>
      </c>
      <c r="E24" s="623">
        <f t="shared" si="1"/>
        <v>0</v>
      </c>
      <c r="F24" s="393">
        <f t="shared" si="2"/>
        <v>7.44</v>
      </c>
      <c r="G24" s="614">
        <f t="shared" si="3"/>
        <v>1.2099727335188048E-8</v>
      </c>
    </row>
    <row r="25" spans="1:7" s="416" customFormat="1" ht="30" x14ac:dyDescent="0.25">
      <c r="A25" s="670" t="s">
        <v>452</v>
      </c>
      <c r="B25" s="651">
        <v>0</v>
      </c>
      <c r="C25" s="623">
        <f t="shared" si="0"/>
        <v>0</v>
      </c>
      <c r="D25" s="622">
        <v>0</v>
      </c>
      <c r="E25" s="623">
        <f t="shared" si="1"/>
        <v>0</v>
      </c>
      <c r="F25" s="393">
        <f t="shared" si="2"/>
        <v>0</v>
      </c>
      <c r="G25" s="614">
        <f t="shared" si="3"/>
        <v>0</v>
      </c>
    </row>
    <row r="26" spans="1:7" s="416" customFormat="1" ht="15" x14ac:dyDescent="0.25">
      <c r="A26" s="670" t="s">
        <v>453</v>
      </c>
      <c r="B26" s="651">
        <v>3104.11</v>
      </c>
      <c r="C26" s="623">
        <f t="shared" si="0"/>
        <v>5.2790703936459927E-6</v>
      </c>
      <c r="D26" s="622">
        <v>16402.330000000002</v>
      </c>
      <c r="E26" s="623">
        <f t="shared" si="1"/>
        <v>6.1005269286418837E-4</v>
      </c>
      <c r="F26" s="393">
        <f t="shared" si="2"/>
        <v>19506.440000000002</v>
      </c>
      <c r="G26" s="614">
        <f t="shared" si="3"/>
        <v>3.172346845164053E-5</v>
      </c>
    </row>
    <row r="27" spans="1:7" s="416" customFormat="1" ht="30" x14ac:dyDescent="0.25">
      <c r="A27" s="670" t="s">
        <v>454</v>
      </c>
      <c r="B27" s="651">
        <v>0</v>
      </c>
      <c r="C27" s="623">
        <f t="shared" si="0"/>
        <v>0</v>
      </c>
      <c r="D27" s="622">
        <v>0</v>
      </c>
      <c r="E27" s="623">
        <f t="shared" si="1"/>
        <v>0</v>
      </c>
      <c r="F27" s="393">
        <f t="shared" si="2"/>
        <v>0</v>
      </c>
      <c r="G27" s="614">
        <f t="shared" si="3"/>
        <v>0</v>
      </c>
    </row>
    <row r="28" spans="1:7" s="416" customFormat="1" ht="15" x14ac:dyDescent="0.25">
      <c r="A28" s="670" t="s">
        <v>455</v>
      </c>
      <c r="B28" s="651">
        <v>4277758.79</v>
      </c>
      <c r="C28" s="623">
        <f t="shared" si="0"/>
        <v>7.2750610575810478E-3</v>
      </c>
      <c r="D28" s="622">
        <v>59344.73</v>
      </c>
      <c r="E28" s="623">
        <f t="shared" si="1"/>
        <v>2.2072115573700921E-3</v>
      </c>
      <c r="F28" s="393">
        <f t="shared" si="2"/>
        <v>4337103.5200000005</v>
      </c>
      <c r="G28" s="614">
        <f t="shared" si="3"/>
        <v>7.0534637118930517E-3</v>
      </c>
    </row>
    <row r="29" spans="1:7" s="416" customFormat="1" ht="30" x14ac:dyDescent="0.25">
      <c r="A29" s="670" t="s">
        <v>456</v>
      </c>
      <c r="B29" s="651">
        <v>0</v>
      </c>
      <c r="C29" s="623">
        <f t="shared" si="0"/>
        <v>0</v>
      </c>
      <c r="D29" s="622">
        <v>0</v>
      </c>
      <c r="E29" s="623">
        <f t="shared" si="1"/>
        <v>0</v>
      </c>
      <c r="F29" s="393">
        <f t="shared" si="2"/>
        <v>0</v>
      </c>
      <c r="G29" s="614">
        <f t="shared" si="3"/>
        <v>0</v>
      </c>
    </row>
    <row r="30" spans="1:7" s="416" customFormat="1" ht="15" x14ac:dyDescent="0.25">
      <c r="A30" s="670" t="s">
        <v>457</v>
      </c>
      <c r="B30" s="651">
        <v>315442.21999999997</v>
      </c>
      <c r="C30" s="623">
        <f t="shared" si="0"/>
        <v>5.3646349018171579E-4</v>
      </c>
      <c r="D30" s="622">
        <v>4241734.88</v>
      </c>
      <c r="E30" s="623">
        <f t="shared" si="1"/>
        <v>0.1577630608553757</v>
      </c>
      <c r="F30" s="393">
        <f t="shared" si="2"/>
        <v>4557177.0999999996</v>
      </c>
      <c r="G30" s="614">
        <f t="shared" si="3"/>
        <v>7.4113710118498639E-3</v>
      </c>
    </row>
    <row r="31" spans="1:7" s="416" customFormat="1" ht="30" x14ac:dyDescent="0.25">
      <c r="A31" s="670" t="s">
        <v>458</v>
      </c>
      <c r="B31" s="651">
        <v>25</v>
      </c>
      <c r="C31" s="623">
        <f t="shared" si="0"/>
        <v>4.2516779315536437E-8</v>
      </c>
      <c r="D31" s="622">
        <v>0</v>
      </c>
      <c r="E31" s="623">
        <f t="shared" si="1"/>
        <v>0</v>
      </c>
      <c r="F31" s="393">
        <f t="shared" si="2"/>
        <v>25</v>
      </c>
      <c r="G31" s="614">
        <f t="shared" si="3"/>
        <v>4.0657685938131878E-8</v>
      </c>
    </row>
    <row r="32" spans="1:7" s="416" customFormat="1" ht="30" x14ac:dyDescent="0.25">
      <c r="A32" s="670" t="s">
        <v>459</v>
      </c>
      <c r="B32" s="651">
        <v>276973.86</v>
      </c>
      <c r="C32" s="623">
        <f t="shared" si="0"/>
        <v>4.7104145927169143E-4</v>
      </c>
      <c r="D32" s="622">
        <v>0</v>
      </c>
      <c r="E32" s="623">
        <f t="shared" si="1"/>
        <v>0</v>
      </c>
      <c r="F32" s="393">
        <f t="shared" si="2"/>
        <v>276973.86</v>
      </c>
      <c r="G32" s="614">
        <f t="shared" si="3"/>
        <v>4.5044464851808427E-4</v>
      </c>
    </row>
    <row r="33" spans="1:9" s="416" customFormat="1" ht="30" x14ac:dyDescent="0.25">
      <c r="A33" s="670" t="s">
        <v>460</v>
      </c>
      <c r="B33" s="651">
        <v>150</v>
      </c>
      <c r="C33" s="623">
        <f t="shared" si="0"/>
        <v>2.5510067589321865E-7</v>
      </c>
      <c r="D33" s="622">
        <v>0</v>
      </c>
      <c r="E33" s="623">
        <f t="shared" si="1"/>
        <v>0</v>
      </c>
      <c r="F33" s="393">
        <f t="shared" si="2"/>
        <v>150</v>
      </c>
      <c r="G33" s="614">
        <f t="shared" si="3"/>
        <v>2.4394611562879126E-7</v>
      </c>
    </row>
    <row r="34" spans="1:9" x14ac:dyDescent="0.25">
      <c r="A34" s="670" t="s">
        <v>461</v>
      </c>
      <c r="B34" s="651">
        <v>0</v>
      </c>
      <c r="C34" s="623">
        <f t="shared" si="0"/>
        <v>0</v>
      </c>
      <c r="D34" s="622">
        <v>0</v>
      </c>
      <c r="E34" s="623">
        <f t="shared" si="1"/>
        <v>0</v>
      </c>
      <c r="F34" s="393">
        <f t="shared" si="2"/>
        <v>0</v>
      </c>
      <c r="G34" s="614">
        <f t="shared" si="3"/>
        <v>0</v>
      </c>
      <c r="I34" s="416"/>
    </row>
    <row r="35" spans="1:9" ht="30" x14ac:dyDescent="0.25">
      <c r="A35" s="670" t="s">
        <v>462</v>
      </c>
      <c r="B35" s="651">
        <v>15322.72</v>
      </c>
      <c r="C35" s="623">
        <f t="shared" si="0"/>
        <v>2.6058908190150261E-5</v>
      </c>
      <c r="D35" s="622">
        <v>0</v>
      </c>
      <c r="E35" s="623">
        <f t="shared" si="1"/>
        <v>0</v>
      </c>
      <c r="F35" s="393">
        <f t="shared" si="2"/>
        <v>15322.72</v>
      </c>
      <c r="G35" s="614">
        <f t="shared" si="3"/>
        <v>2.4919453499117284E-5</v>
      </c>
      <c r="I35" s="416"/>
    </row>
    <row r="36" spans="1:9" ht="30" x14ac:dyDescent="0.25">
      <c r="A36" s="670" t="s">
        <v>463</v>
      </c>
      <c r="B36" s="650">
        <v>0</v>
      </c>
      <c r="C36" s="623">
        <f t="shared" si="0"/>
        <v>0</v>
      </c>
      <c r="D36" s="620">
        <v>0</v>
      </c>
      <c r="E36" s="623">
        <f t="shared" si="1"/>
        <v>0</v>
      </c>
      <c r="F36" s="393">
        <f t="shared" si="2"/>
        <v>0</v>
      </c>
      <c r="G36" s="614">
        <f t="shared" si="3"/>
        <v>0</v>
      </c>
      <c r="I36" s="416"/>
    </row>
    <row r="37" spans="1:9" ht="16.5" thickBot="1" x14ac:dyDescent="0.3">
      <c r="A37" s="671" t="s">
        <v>464</v>
      </c>
      <c r="B37" s="652">
        <v>466084179.23000002</v>
      </c>
      <c r="C37" s="625">
        <f t="shared" si="0"/>
        <v>0.79265592763139381</v>
      </c>
      <c r="D37" s="624">
        <v>7725</v>
      </c>
      <c r="E37" s="625">
        <f t="shared" si="1"/>
        <v>2.8731631739977522E-4</v>
      </c>
      <c r="F37" s="394">
        <f t="shared" si="2"/>
        <v>466091904.23000002</v>
      </c>
      <c r="G37" s="615">
        <f t="shared" si="3"/>
        <v>0.75800873041956729</v>
      </c>
      <c r="I37" s="416"/>
    </row>
    <row r="38" spans="1:9" x14ac:dyDescent="0.25">
      <c r="A38" s="672" t="s">
        <v>429</v>
      </c>
      <c r="B38" s="667">
        <f>SUM(B3:B37)</f>
        <v>588003146.11000001</v>
      </c>
      <c r="C38" s="627">
        <f>SUM(C3:C37)</f>
        <v>1</v>
      </c>
      <c r="D38" s="626">
        <f>SUM(D3:D37)</f>
        <v>26886743.050000001</v>
      </c>
      <c r="E38" s="628">
        <f>SUM(E3:E37)</f>
        <v>1</v>
      </c>
      <c r="F38" s="626">
        <f t="shared" si="2"/>
        <v>614889889.15999997</v>
      </c>
      <c r="G38" s="629">
        <f>SUM(G3:G37)</f>
        <v>1</v>
      </c>
      <c r="I38" s="416"/>
    </row>
    <row r="39" spans="1:9" ht="23.25" customHeight="1" x14ac:dyDescent="0.25">
      <c r="A39" s="673" t="s">
        <v>465</v>
      </c>
      <c r="B39" s="651">
        <v>7812903.9699999997</v>
      </c>
      <c r="C39" s="623"/>
      <c r="D39" s="622">
        <v>4086321.11</v>
      </c>
      <c r="E39" s="630"/>
      <c r="F39" s="393">
        <f t="shared" si="2"/>
        <v>11899225.08</v>
      </c>
      <c r="G39" s="631"/>
      <c r="I39" s="416"/>
    </row>
    <row r="40" spans="1:9" x14ac:dyDescent="0.25">
      <c r="A40" s="670" t="s">
        <v>466</v>
      </c>
      <c r="B40" s="651">
        <v>231468.83</v>
      </c>
      <c r="C40" s="632"/>
      <c r="D40" s="622">
        <v>567845.94999999995</v>
      </c>
      <c r="E40" s="630"/>
      <c r="F40" s="393">
        <f t="shared" si="2"/>
        <v>799314.77999999991</v>
      </c>
      <c r="G40" s="631"/>
      <c r="I40" s="416"/>
    </row>
    <row r="41" spans="1:9" ht="19.5" customHeight="1" x14ac:dyDescent="0.25">
      <c r="A41" s="670" t="s">
        <v>467</v>
      </c>
      <c r="B41" s="651">
        <v>0</v>
      </c>
      <c r="C41" s="623"/>
      <c r="D41" s="622">
        <v>0</v>
      </c>
      <c r="E41" s="630"/>
      <c r="F41" s="393">
        <f t="shared" si="2"/>
        <v>0</v>
      </c>
      <c r="G41" s="631"/>
      <c r="I41" s="416"/>
    </row>
    <row r="42" spans="1:9" ht="16.5" thickBot="1" x14ac:dyDescent="0.3">
      <c r="A42" s="674" t="s">
        <v>468</v>
      </c>
      <c r="B42" s="668">
        <f>B39-B40-B41</f>
        <v>7581435.1399999997</v>
      </c>
      <c r="C42" s="634"/>
      <c r="D42" s="633">
        <f>D39-D40-D41</f>
        <v>3518475.16</v>
      </c>
      <c r="E42" s="635"/>
      <c r="F42" s="824">
        <f t="shared" si="2"/>
        <v>11099910.300000001</v>
      </c>
      <c r="G42" s="636"/>
      <c r="I42" s="416"/>
    </row>
    <row r="43" spans="1:9" x14ac:dyDescent="0.25">
      <c r="G43" s="410" t="s">
        <v>540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opLeftCell="B16" workbookViewId="0">
      <selection activeCell="N40" sqref="N40"/>
    </sheetView>
  </sheetViews>
  <sheetFormatPr defaultRowHeight="15" x14ac:dyDescent="0.25"/>
  <cols>
    <col min="1" max="1" width="44.7109375" style="637" customWidth="1"/>
    <col min="2" max="2" width="15.7109375" style="637" customWidth="1"/>
    <col min="3" max="3" width="16.7109375" style="637" bestFit="1" customWidth="1"/>
    <col min="4" max="4" width="13.42578125" style="637" customWidth="1"/>
    <col min="5" max="5" width="15.42578125" style="637" customWidth="1"/>
    <col min="6" max="6" width="16.28515625" style="637" customWidth="1"/>
    <col min="7" max="7" width="13" style="637" customWidth="1"/>
    <col min="8" max="8" width="14.85546875" style="637" customWidth="1"/>
    <col min="9" max="9" width="15.140625" style="637" customWidth="1"/>
    <col min="10" max="10" width="12.7109375" style="637" customWidth="1"/>
    <col min="11" max="11" width="14.85546875" style="637" customWidth="1"/>
    <col min="12" max="16384" width="9.140625" style="637"/>
  </cols>
  <sheetData>
    <row r="1" spans="1:10" ht="21.75" thickBot="1" x14ac:dyDescent="0.3">
      <c r="A1" s="1070" t="s">
        <v>602</v>
      </c>
      <c r="B1" s="1070"/>
      <c r="C1" s="1070"/>
      <c r="D1" s="1070"/>
      <c r="E1" s="1070"/>
      <c r="F1" s="1070"/>
      <c r="G1" s="1070"/>
      <c r="H1" s="1070"/>
      <c r="I1" s="1070"/>
      <c r="J1" s="1070"/>
    </row>
    <row r="2" spans="1:10" ht="15.75" thickBot="1" x14ac:dyDescent="0.3">
      <c r="A2" s="1071" t="s">
        <v>210</v>
      </c>
      <c r="B2" s="1073" t="s">
        <v>211</v>
      </c>
      <c r="C2" s="1074"/>
      <c r="D2" s="1074"/>
      <c r="E2" s="1075" t="s">
        <v>212</v>
      </c>
      <c r="F2" s="1076"/>
      <c r="G2" s="1077"/>
      <c r="H2" s="1074" t="s">
        <v>469</v>
      </c>
      <c r="I2" s="1074"/>
      <c r="J2" s="1078"/>
    </row>
    <row r="3" spans="1:10" s="641" customFormat="1" ht="45.75" thickBot="1" x14ac:dyDescent="0.3">
      <c r="A3" s="1072"/>
      <c r="B3" s="638" t="s">
        <v>427</v>
      </c>
      <c r="C3" s="639" t="s">
        <v>428</v>
      </c>
      <c r="D3" s="639" t="s">
        <v>429</v>
      </c>
      <c r="E3" s="639" t="s">
        <v>427</v>
      </c>
      <c r="F3" s="639" t="s">
        <v>428</v>
      </c>
      <c r="G3" s="639" t="s">
        <v>429</v>
      </c>
      <c r="H3" s="639" t="s">
        <v>427</v>
      </c>
      <c r="I3" s="639" t="s">
        <v>428</v>
      </c>
      <c r="J3" s="640" t="s">
        <v>429</v>
      </c>
    </row>
    <row r="4" spans="1:10" x14ac:dyDescent="0.25">
      <c r="A4" s="653" t="s">
        <v>430</v>
      </c>
      <c r="B4" s="650">
        <v>924290.87</v>
      </c>
      <c r="C4" s="620">
        <v>2538619.7799999998</v>
      </c>
      <c r="D4" s="620">
        <f t="shared" ref="D4:D37" si="0">B4+C4</f>
        <v>3462910.65</v>
      </c>
      <c r="E4" s="620">
        <v>856553.64</v>
      </c>
      <c r="F4" s="620">
        <v>2526805.54</v>
      </c>
      <c r="G4" s="620">
        <f t="shared" ref="G4:G37" si="1">E4+F4</f>
        <v>3383359.18</v>
      </c>
      <c r="H4" s="620">
        <f>E4-B4</f>
        <v>-67737.229999999981</v>
      </c>
      <c r="I4" s="620">
        <f>F4-C4</f>
        <v>-11814.239999999758</v>
      </c>
      <c r="J4" s="642">
        <f t="shared" ref="J4:J37" si="2">G4-D4</f>
        <v>-79551.469999999739</v>
      </c>
    </row>
    <row r="5" spans="1:10" x14ac:dyDescent="0.25">
      <c r="A5" s="654" t="s">
        <v>431</v>
      </c>
      <c r="B5" s="651">
        <v>35058787.159999996</v>
      </c>
      <c r="C5" s="622">
        <v>15985222.050000001</v>
      </c>
      <c r="D5" s="620">
        <f t="shared" si="0"/>
        <v>51044009.209999993</v>
      </c>
      <c r="E5" s="622">
        <v>38461663.539999999</v>
      </c>
      <c r="F5" s="622">
        <v>16217380.09</v>
      </c>
      <c r="G5" s="622">
        <f t="shared" si="1"/>
        <v>54679043.629999995</v>
      </c>
      <c r="H5" s="620">
        <f t="shared" ref="H5:I37" si="3">E5-B5</f>
        <v>3402876.3800000027</v>
      </c>
      <c r="I5" s="620">
        <f t="shared" si="3"/>
        <v>232158.03999999911</v>
      </c>
      <c r="J5" s="642">
        <f t="shared" si="2"/>
        <v>3635034.4200000018</v>
      </c>
    </row>
    <row r="6" spans="1:10" x14ac:dyDescent="0.25">
      <c r="A6" s="654" t="s">
        <v>432</v>
      </c>
      <c r="B6" s="651">
        <v>4679694.93</v>
      </c>
      <c r="C6" s="622">
        <v>525116.15</v>
      </c>
      <c r="D6" s="620">
        <f t="shared" si="0"/>
        <v>5204811.08</v>
      </c>
      <c r="E6" s="622">
        <v>4713859.18</v>
      </c>
      <c r="F6" s="622">
        <v>685558.6</v>
      </c>
      <c r="G6" s="622">
        <f t="shared" si="1"/>
        <v>5399417.7799999993</v>
      </c>
      <c r="H6" s="620">
        <f t="shared" si="3"/>
        <v>34164.25</v>
      </c>
      <c r="I6" s="620">
        <f t="shared" si="3"/>
        <v>160442.44999999995</v>
      </c>
      <c r="J6" s="642">
        <f t="shared" si="2"/>
        <v>194606.69999999925</v>
      </c>
    </row>
    <row r="7" spans="1:10" x14ac:dyDescent="0.25">
      <c r="A7" s="654" t="s">
        <v>433</v>
      </c>
      <c r="B7" s="651">
        <v>0</v>
      </c>
      <c r="C7" s="622">
        <v>0</v>
      </c>
      <c r="D7" s="620">
        <f t="shared" si="0"/>
        <v>0</v>
      </c>
      <c r="E7" s="622">
        <v>0</v>
      </c>
      <c r="F7" s="622">
        <v>0</v>
      </c>
      <c r="G7" s="622">
        <f t="shared" si="1"/>
        <v>0</v>
      </c>
      <c r="H7" s="620">
        <f t="shared" si="3"/>
        <v>0</v>
      </c>
      <c r="I7" s="620">
        <f t="shared" si="3"/>
        <v>0</v>
      </c>
      <c r="J7" s="642">
        <f t="shared" si="2"/>
        <v>0</v>
      </c>
    </row>
    <row r="8" spans="1:10" x14ac:dyDescent="0.25">
      <c r="A8" s="654" t="s">
        <v>434</v>
      </c>
      <c r="B8" s="651">
        <v>0</v>
      </c>
      <c r="C8" s="622">
        <v>0</v>
      </c>
      <c r="D8" s="620">
        <f t="shared" si="0"/>
        <v>0</v>
      </c>
      <c r="E8" s="622">
        <v>0</v>
      </c>
      <c r="F8" s="622">
        <v>0</v>
      </c>
      <c r="G8" s="622">
        <f t="shared" si="1"/>
        <v>0</v>
      </c>
      <c r="H8" s="620">
        <f t="shared" si="3"/>
        <v>0</v>
      </c>
      <c r="I8" s="620">
        <f t="shared" si="3"/>
        <v>0</v>
      </c>
      <c r="J8" s="642">
        <f t="shared" si="2"/>
        <v>0</v>
      </c>
    </row>
    <row r="9" spans="1:10" x14ac:dyDescent="0.25">
      <c r="A9" s="654" t="s">
        <v>435</v>
      </c>
      <c r="B9" s="651">
        <v>52755.23</v>
      </c>
      <c r="C9" s="622">
        <v>-109841.37</v>
      </c>
      <c r="D9" s="620">
        <f t="shared" si="0"/>
        <v>-57086.139999999992</v>
      </c>
      <c r="E9" s="622">
        <v>176712.95</v>
      </c>
      <c r="F9" s="622">
        <v>-6610.9</v>
      </c>
      <c r="G9" s="622">
        <f t="shared" si="1"/>
        <v>170102.05000000002</v>
      </c>
      <c r="H9" s="620">
        <f t="shared" si="3"/>
        <v>123957.72</v>
      </c>
      <c r="I9" s="620">
        <f t="shared" si="3"/>
        <v>103230.47</v>
      </c>
      <c r="J9" s="642">
        <f t="shared" si="2"/>
        <v>227188.19</v>
      </c>
    </row>
    <row r="10" spans="1:10" x14ac:dyDescent="0.25">
      <c r="A10" s="654" t="s">
        <v>436</v>
      </c>
      <c r="B10" s="651">
        <v>0</v>
      </c>
      <c r="C10" s="622">
        <v>12699.83</v>
      </c>
      <c r="D10" s="620">
        <f t="shared" si="0"/>
        <v>12699.83</v>
      </c>
      <c r="E10" s="622">
        <v>570</v>
      </c>
      <c r="F10" s="622">
        <v>14714.53</v>
      </c>
      <c r="G10" s="622">
        <f t="shared" si="1"/>
        <v>15284.53</v>
      </c>
      <c r="H10" s="620">
        <f t="shared" si="3"/>
        <v>570</v>
      </c>
      <c r="I10" s="620">
        <f t="shared" si="3"/>
        <v>2014.7000000000007</v>
      </c>
      <c r="J10" s="642">
        <f t="shared" si="2"/>
        <v>2584.7000000000007</v>
      </c>
    </row>
    <row r="11" spans="1:10" x14ac:dyDescent="0.25">
      <c r="A11" s="654" t="s">
        <v>437</v>
      </c>
      <c r="B11" s="651">
        <v>15382.15</v>
      </c>
      <c r="C11" s="622">
        <v>174706.95</v>
      </c>
      <c r="D11" s="620">
        <f t="shared" si="0"/>
        <v>190089.1</v>
      </c>
      <c r="E11" s="622">
        <v>39260.33</v>
      </c>
      <c r="F11" s="622">
        <v>225559.28</v>
      </c>
      <c r="G11" s="622">
        <f t="shared" si="1"/>
        <v>264819.61</v>
      </c>
      <c r="H11" s="620">
        <f t="shared" si="3"/>
        <v>23878.18</v>
      </c>
      <c r="I11" s="620">
        <f t="shared" si="3"/>
        <v>50852.329999999987</v>
      </c>
      <c r="J11" s="642">
        <f t="shared" si="2"/>
        <v>74730.50999999998</v>
      </c>
    </row>
    <row r="12" spans="1:10" x14ac:dyDescent="0.25">
      <c r="A12" s="654" t="s">
        <v>438</v>
      </c>
      <c r="B12" s="651">
        <v>1242193.01</v>
      </c>
      <c r="C12" s="622">
        <v>427933.73</v>
      </c>
      <c r="D12" s="620">
        <f t="shared" si="0"/>
        <v>1670126.74</v>
      </c>
      <c r="E12" s="622">
        <v>923422.67</v>
      </c>
      <c r="F12" s="622">
        <v>327977.11</v>
      </c>
      <c r="G12" s="622">
        <f t="shared" si="1"/>
        <v>1251399.78</v>
      </c>
      <c r="H12" s="620">
        <f t="shared" si="3"/>
        <v>-318770.33999999997</v>
      </c>
      <c r="I12" s="620">
        <f t="shared" si="3"/>
        <v>-99956.62</v>
      </c>
      <c r="J12" s="642">
        <f t="shared" si="2"/>
        <v>-418726.95999999996</v>
      </c>
    </row>
    <row r="13" spans="1:10" ht="18.75" customHeight="1" x14ac:dyDescent="0.25">
      <c r="A13" s="654" t="s">
        <v>439</v>
      </c>
      <c r="B13" s="651">
        <v>0</v>
      </c>
      <c r="C13" s="622">
        <v>0</v>
      </c>
      <c r="D13" s="620">
        <f t="shared" si="0"/>
        <v>0</v>
      </c>
      <c r="E13" s="622">
        <v>0</v>
      </c>
      <c r="F13" s="622">
        <v>0</v>
      </c>
      <c r="G13" s="622">
        <f t="shared" si="1"/>
        <v>0</v>
      </c>
      <c r="H13" s="620">
        <f t="shared" si="3"/>
        <v>0</v>
      </c>
      <c r="I13" s="620">
        <f t="shared" si="3"/>
        <v>0</v>
      </c>
      <c r="J13" s="642">
        <f t="shared" si="2"/>
        <v>0</v>
      </c>
    </row>
    <row r="14" spans="1:10" x14ac:dyDescent="0.25">
      <c r="A14" s="654" t="s">
        <v>440</v>
      </c>
      <c r="B14" s="651">
        <v>0</v>
      </c>
      <c r="C14" s="622">
        <v>99687.85</v>
      </c>
      <c r="D14" s="620">
        <f t="shared" si="0"/>
        <v>99687.85</v>
      </c>
      <c r="E14" s="622">
        <v>39988.01</v>
      </c>
      <c r="F14" s="622">
        <v>0</v>
      </c>
      <c r="G14" s="622">
        <f t="shared" si="1"/>
        <v>39988.01</v>
      </c>
      <c r="H14" s="620">
        <f t="shared" si="3"/>
        <v>39988.01</v>
      </c>
      <c r="I14" s="620">
        <f t="shared" si="3"/>
        <v>-99687.85</v>
      </c>
      <c r="J14" s="642">
        <f t="shared" si="2"/>
        <v>-59699.840000000004</v>
      </c>
    </row>
    <row r="15" spans="1:10" x14ac:dyDescent="0.25">
      <c r="A15" s="654" t="s">
        <v>441</v>
      </c>
      <c r="B15" s="651">
        <v>65287.16</v>
      </c>
      <c r="C15" s="622">
        <v>35728.93</v>
      </c>
      <c r="D15" s="620">
        <f t="shared" si="0"/>
        <v>101016.09</v>
      </c>
      <c r="E15" s="622">
        <v>12462.84</v>
      </c>
      <c r="F15" s="622">
        <v>24229.18</v>
      </c>
      <c r="G15" s="622">
        <f t="shared" si="1"/>
        <v>36692.020000000004</v>
      </c>
      <c r="H15" s="620">
        <f t="shared" si="3"/>
        <v>-52824.320000000007</v>
      </c>
      <c r="I15" s="620">
        <f t="shared" si="3"/>
        <v>-11499.75</v>
      </c>
      <c r="J15" s="642">
        <f t="shared" si="2"/>
        <v>-64324.069999999992</v>
      </c>
    </row>
    <row r="16" spans="1:10" x14ac:dyDescent="0.25">
      <c r="A16" s="654" t="s">
        <v>442</v>
      </c>
      <c r="B16" s="651">
        <v>33196.07</v>
      </c>
      <c r="C16" s="622">
        <v>2105.71</v>
      </c>
      <c r="D16" s="620">
        <f t="shared" si="0"/>
        <v>35301.78</v>
      </c>
      <c r="E16" s="622">
        <v>47364.23</v>
      </c>
      <c r="F16" s="622">
        <v>1240.77</v>
      </c>
      <c r="G16" s="622">
        <f t="shared" si="1"/>
        <v>48605</v>
      </c>
      <c r="H16" s="620">
        <f t="shared" si="3"/>
        <v>14168.160000000003</v>
      </c>
      <c r="I16" s="620">
        <f t="shared" si="3"/>
        <v>-864.94</v>
      </c>
      <c r="J16" s="642">
        <f t="shared" si="2"/>
        <v>13303.220000000001</v>
      </c>
    </row>
    <row r="17" spans="1:10" x14ac:dyDescent="0.25">
      <c r="A17" s="654" t="s">
        <v>443</v>
      </c>
      <c r="B17" s="651">
        <v>0</v>
      </c>
      <c r="C17" s="622">
        <v>265.98</v>
      </c>
      <c r="D17" s="620">
        <f t="shared" si="0"/>
        <v>265.98</v>
      </c>
      <c r="E17" s="622">
        <v>10554.87</v>
      </c>
      <c r="F17" s="622">
        <v>2137.5300000000002</v>
      </c>
      <c r="G17" s="622">
        <f t="shared" si="1"/>
        <v>12692.400000000001</v>
      </c>
      <c r="H17" s="620">
        <f t="shared" si="3"/>
        <v>10554.87</v>
      </c>
      <c r="I17" s="620">
        <f t="shared" si="3"/>
        <v>1871.5500000000002</v>
      </c>
      <c r="J17" s="642">
        <f t="shared" si="2"/>
        <v>12426.420000000002</v>
      </c>
    </row>
    <row r="18" spans="1:10" x14ac:dyDescent="0.25">
      <c r="A18" s="654" t="s">
        <v>444</v>
      </c>
      <c r="B18" s="651">
        <v>294693.61</v>
      </c>
      <c r="C18" s="622">
        <v>27106.240000000002</v>
      </c>
      <c r="D18" s="620">
        <f t="shared" si="0"/>
        <v>321799.84999999998</v>
      </c>
      <c r="E18" s="622">
        <v>131921.06</v>
      </c>
      <c r="F18" s="622">
        <v>11615.05</v>
      </c>
      <c r="G18" s="622">
        <f t="shared" si="1"/>
        <v>143536.10999999999</v>
      </c>
      <c r="H18" s="620">
        <f t="shared" si="3"/>
        <v>-162772.54999999999</v>
      </c>
      <c r="I18" s="620">
        <f t="shared" si="3"/>
        <v>-15491.190000000002</v>
      </c>
      <c r="J18" s="642">
        <f t="shared" si="2"/>
        <v>-178263.74</v>
      </c>
    </row>
    <row r="19" spans="1:10" x14ac:dyDescent="0.25">
      <c r="A19" s="654" t="s">
        <v>445</v>
      </c>
      <c r="B19" s="651">
        <v>34857.440000000002</v>
      </c>
      <c r="C19" s="622">
        <v>3664.95</v>
      </c>
      <c r="D19" s="620">
        <f t="shared" si="0"/>
        <v>38522.39</v>
      </c>
      <c r="E19" s="622">
        <v>162186.39000000001</v>
      </c>
      <c r="F19" s="622">
        <v>3042.9</v>
      </c>
      <c r="G19" s="622">
        <f t="shared" si="1"/>
        <v>165229.29</v>
      </c>
      <c r="H19" s="620">
        <f t="shared" si="3"/>
        <v>127328.95000000001</v>
      </c>
      <c r="I19" s="620">
        <f t="shared" si="3"/>
        <v>-622.04999999999973</v>
      </c>
      <c r="J19" s="642">
        <f t="shared" si="2"/>
        <v>126706.90000000001</v>
      </c>
    </row>
    <row r="20" spans="1:10" x14ac:dyDescent="0.25">
      <c r="A20" s="654" t="s">
        <v>446</v>
      </c>
      <c r="B20" s="651">
        <v>31992.12</v>
      </c>
      <c r="C20" s="622">
        <v>0</v>
      </c>
      <c r="D20" s="620">
        <f t="shared" si="0"/>
        <v>31992.12</v>
      </c>
      <c r="E20" s="622">
        <v>59741.24</v>
      </c>
      <c r="F20" s="622">
        <v>0</v>
      </c>
      <c r="G20" s="622">
        <f t="shared" si="1"/>
        <v>59741.24</v>
      </c>
      <c r="H20" s="620">
        <f t="shared" si="3"/>
        <v>27749.119999999999</v>
      </c>
      <c r="I20" s="620">
        <f t="shared" si="3"/>
        <v>0</v>
      </c>
      <c r="J20" s="642">
        <f t="shared" si="2"/>
        <v>27749.119999999999</v>
      </c>
    </row>
    <row r="21" spans="1:10" x14ac:dyDescent="0.25">
      <c r="A21" s="654" t="s">
        <v>447</v>
      </c>
      <c r="B21" s="651">
        <v>211.59</v>
      </c>
      <c r="C21" s="622">
        <v>0</v>
      </c>
      <c r="D21" s="620">
        <f t="shared" si="0"/>
        <v>211.59</v>
      </c>
      <c r="E21" s="622">
        <v>8947.15</v>
      </c>
      <c r="F21" s="622">
        <v>2251.5500000000002</v>
      </c>
      <c r="G21" s="622">
        <f t="shared" si="1"/>
        <v>11198.7</v>
      </c>
      <c r="H21" s="620">
        <f t="shared" si="3"/>
        <v>8735.56</v>
      </c>
      <c r="I21" s="620">
        <f t="shared" si="3"/>
        <v>2251.5500000000002</v>
      </c>
      <c r="J21" s="642">
        <f t="shared" si="2"/>
        <v>10987.11</v>
      </c>
    </row>
    <row r="22" spans="1:10" x14ac:dyDescent="0.25">
      <c r="A22" s="654" t="s">
        <v>448</v>
      </c>
      <c r="B22" s="651">
        <v>0</v>
      </c>
      <c r="C22" s="622">
        <v>0</v>
      </c>
      <c r="D22" s="620">
        <f t="shared" si="0"/>
        <v>0</v>
      </c>
      <c r="E22" s="622">
        <v>0</v>
      </c>
      <c r="F22" s="622">
        <v>0</v>
      </c>
      <c r="G22" s="622">
        <f t="shared" si="1"/>
        <v>0</v>
      </c>
      <c r="H22" s="620">
        <f t="shared" si="3"/>
        <v>0</v>
      </c>
      <c r="I22" s="620">
        <f t="shared" si="3"/>
        <v>0</v>
      </c>
      <c r="J22" s="642">
        <f t="shared" si="2"/>
        <v>0</v>
      </c>
    </row>
    <row r="23" spans="1:10" x14ac:dyDescent="0.25">
      <c r="A23" s="654" t="s">
        <v>449</v>
      </c>
      <c r="B23" s="651">
        <v>59033897.710000001</v>
      </c>
      <c r="C23" s="622">
        <v>2077348.24</v>
      </c>
      <c r="D23" s="620">
        <f t="shared" si="0"/>
        <v>61111245.950000003</v>
      </c>
      <c r="E23" s="622">
        <v>66964676.420000002</v>
      </c>
      <c r="F23" s="622">
        <v>2519305.38</v>
      </c>
      <c r="G23" s="622">
        <f t="shared" si="1"/>
        <v>69483981.799999997</v>
      </c>
      <c r="H23" s="620">
        <f t="shared" si="3"/>
        <v>7930778.7100000009</v>
      </c>
      <c r="I23" s="620">
        <f t="shared" si="3"/>
        <v>441957.1399999999</v>
      </c>
      <c r="J23" s="642">
        <f t="shared" si="2"/>
        <v>8372735.849999994</v>
      </c>
    </row>
    <row r="24" spans="1:10" ht="30" x14ac:dyDescent="0.25">
      <c r="A24" s="654" t="s">
        <v>450</v>
      </c>
      <c r="B24" s="651">
        <v>1383240.32</v>
      </c>
      <c r="C24" s="622">
        <v>145993.07</v>
      </c>
      <c r="D24" s="620">
        <f t="shared" si="0"/>
        <v>1529233.3900000001</v>
      </c>
      <c r="E24" s="622">
        <v>4420298.22</v>
      </c>
      <c r="F24" s="622">
        <v>6329.5</v>
      </c>
      <c r="G24" s="622">
        <f t="shared" si="1"/>
        <v>4426627.72</v>
      </c>
      <c r="H24" s="620">
        <f t="shared" si="3"/>
        <v>3037057.8999999994</v>
      </c>
      <c r="I24" s="620">
        <f t="shared" si="3"/>
        <v>-139663.57</v>
      </c>
      <c r="J24" s="642">
        <f t="shared" si="2"/>
        <v>2897394.3299999996</v>
      </c>
    </row>
    <row r="25" spans="1:10" x14ac:dyDescent="0.25">
      <c r="A25" s="654" t="s">
        <v>451</v>
      </c>
      <c r="B25" s="651">
        <v>690</v>
      </c>
      <c r="C25" s="622">
        <v>0</v>
      </c>
      <c r="D25" s="620">
        <f t="shared" si="0"/>
        <v>690</v>
      </c>
      <c r="E25" s="622">
        <v>7.44</v>
      </c>
      <c r="F25" s="622">
        <v>0</v>
      </c>
      <c r="G25" s="622">
        <f t="shared" si="1"/>
        <v>7.44</v>
      </c>
      <c r="H25" s="620">
        <f t="shared" si="3"/>
        <v>-682.56</v>
      </c>
      <c r="I25" s="620">
        <f t="shared" si="3"/>
        <v>0</v>
      </c>
      <c r="J25" s="642">
        <f t="shared" si="2"/>
        <v>-682.56</v>
      </c>
    </row>
    <row r="26" spans="1:10" x14ac:dyDescent="0.25">
      <c r="A26" s="654" t="s">
        <v>452</v>
      </c>
      <c r="B26" s="651">
        <v>0</v>
      </c>
      <c r="C26" s="622">
        <v>0</v>
      </c>
      <c r="D26" s="620">
        <f t="shared" si="0"/>
        <v>0</v>
      </c>
      <c r="E26" s="622">
        <v>0</v>
      </c>
      <c r="F26" s="622">
        <v>0</v>
      </c>
      <c r="G26" s="622">
        <f t="shared" si="1"/>
        <v>0</v>
      </c>
      <c r="H26" s="620">
        <f t="shared" si="3"/>
        <v>0</v>
      </c>
      <c r="I26" s="620">
        <f t="shared" si="3"/>
        <v>0</v>
      </c>
      <c r="J26" s="642">
        <f t="shared" si="2"/>
        <v>0</v>
      </c>
    </row>
    <row r="27" spans="1:10" x14ac:dyDescent="0.25">
      <c r="A27" s="654" t="s">
        <v>453</v>
      </c>
      <c r="B27" s="651">
        <v>8559.64</v>
      </c>
      <c r="C27" s="622">
        <v>18617.830000000002</v>
      </c>
      <c r="D27" s="620">
        <f t="shared" si="0"/>
        <v>27177.47</v>
      </c>
      <c r="E27" s="622">
        <v>3104.11</v>
      </c>
      <c r="F27" s="622">
        <v>16402.330000000002</v>
      </c>
      <c r="G27" s="622">
        <f t="shared" si="1"/>
        <v>19506.440000000002</v>
      </c>
      <c r="H27" s="620">
        <f t="shared" si="3"/>
        <v>-5455.5299999999988</v>
      </c>
      <c r="I27" s="620">
        <f t="shared" si="3"/>
        <v>-2215.5</v>
      </c>
      <c r="J27" s="642">
        <f t="shared" si="2"/>
        <v>-7671.0299999999988</v>
      </c>
    </row>
    <row r="28" spans="1:10" ht="16.5" customHeight="1" x14ac:dyDescent="0.25">
      <c r="A28" s="654" t="s">
        <v>454</v>
      </c>
      <c r="B28" s="651">
        <v>0</v>
      </c>
      <c r="C28" s="622">
        <v>0</v>
      </c>
      <c r="D28" s="620">
        <f t="shared" si="0"/>
        <v>0</v>
      </c>
      <c r="E28" s="622">
        <v>0</v>
      </c>
      <c r="F28" s="622">
        <v>0</v>
      </c>
      <c r="G28" s="622">
        <f t="shared" si="1"/>
        <v>0</v>
      </c>
      <c r="H28" s="620">
        <f t="shared" si="3"/>
        <v>0</v>
      </c>
      <c r="I28" s="620">
        <f t="shared" si="3"/>
        <v>0</v>
      </c>
      <c r="J28" s="642">
        <f t="shared" si="2"/>
        <v>0</v>
      </c>
    </row>
    <row r="29" spans="1:10" x14ac:dyDescent="0.25">
      <c r="A29" s="654" t="s">
        <v>470</v>
      </c>
      <c r="B29" s="651">
        <v>6075979.9400000004</v>
      </c>
      <c r="C29" s="622">
        <v>33912.32</v>
      </c>
      <c r="D29" s="620">
        <f t="shared" si="0"/>
        <v>6109892.2600000007</v>
      </c>
      <c r="E29" s="622">
        <v>4277758.79</v>
      </c>
      <c r="F29" s="622">
        <v>59344.73</v>
      </c>
      <c r="G29" s="622">
        <f t="shared" si="1"/>
        <v>4337103.5200000005</v>
      </c>
      <c r="H29" s="620">
        <f t="shared" si="3"/>
        <v>-1798221.1500000004</v>
      </c>
      <c r="I29" s="620">
        <f t="shared" si="3"/>
        <v>25432.410000000003</v>
      </c>
      <c r="J29" s="642">
        <f t="shared" si="2"/>
        <v>-1772788.7400000002</v>
      </c>
    </row>
    <row r="30" spans="1:10" x14ac:dyDescent="0.25">
      <c r="A30" s="654" t="s">
        <v>456</v>
      </c>
      <c r="B30" s="651">
        <v>0</v>
      </c>
      <c r="C30" s="622">
        <v>0</v>
      </c>
      <c r="D30" s="620">
        <f t="shared" si="0"/>
        <v>0</v>
      </c>
      <c r="E30" s="622">
        <v>0</v>
      </c>
      <c r="F30" s="622">
        <v>0</v>
      </c>
      <c r="G30" s="622">
        <f t="shared" si="1"/>
        <v>0</v>
      </c>
      <c r="H30" s="620">
        <f t="shared" si="3"/>
        <v>0</v>
      </c>
      <c r="I30" s="620">
        <f t="shared" si="3"/>
        <v>0</v>
      </c>
      <c r="J30" s="642">
        <f t="shared" si="2"/>
        <v>0</v>
      </c>
    </row>
    <row r="31" spans="1:10" x14ac:dyDescent="0.25">
      <c r="A31" s="654" t="s">
        <v>457</v>
      </c>
      <c r="B31" s="651">
        <v>335185.06</v>
      </c>
      <c r="C31" s="622">
        <v>4351671.46</v>
      </c>
      <c r="D31" s="620">
        <f t="shared" si="0"/>
        <v>4686856.5199999996</v>
      </c>
      <c r="E31" s="622">
        <v>315442.21999999997</v>
      </c>
      <c r="F31" s="622">
        <v>4241734.88</v>
      </c>
      <c r="G31" s="622">
        <f t="shared" si="1"/>
        <v>4557177.0999999996</v>
      </c>
      <c r="H31" s="620">
        <f t="shared" si="3"/>
        <v>-19742.840000000026</v>
      </c>
      <c r="I31" s="620">
        <f t="shared" si="3"/>
        <v>-109936.58000000007</v>
      </c>
      <c r="J31" s="642">
        <f t="shared" si="2"/>
        <v>-129679.41999999993</v>
      </c>
    </row>
    <row r="32" spans="1:10" x14ac:dyDescent="0.25">
      <c r="A32" s="654" t="s">
        <v>458</v>
      </c>
      <c r="B32" s="651">
        <v>139071.64000000001</v>
      </c>
      <c r="C32" s="622">
        <v>0</v>
      </c>
      <c r="D32" s="620">
        <f t="shared" si="0"/>
        <v>139071.64000000001</v>
      </c>
      <c r="E32" s="622">
        <v>25</v>
      </c>
      <c r="F32" s="622">
        <v>0</v>
      </c>
      <c r="G32" s="622">
        <f t="shared" si="1"/>
        <v>25</v>
      </c>
      <c r="H32" s="620">
        <f t="shared" si="3"/>
        <v>-139046.64000000001</v>
      </c>
      <c r="I32" s="620">
        <f t="shared" si="3"/>
        <v>0</v>
      </c>
      <c r="J32" s="642">
        <f t="shared" si="2"/>
        <v>-139046.64000000001</v>
      </c>
    </row>
    <row r="33" spans="1:10" x14ac:dyDescent="0.25">
      <c r="A33" s="654" t="s">
        <v>459</v>
      </c>
      <c r="B33" s="651">
        <v>0</v>
      </c>
      <c r="C33" s="622">
        <v>0</v>
      </c>
      <c r="D33" s="620">
        <f t="shared" si="0"/>
        <v>0</v>
      </c>
      <c r="E33" s="622">
        <v>276973.86</v>
      </c>
      <c r="F33" s="622">
        <v>0</v>
      </c>
      <c r="G33" s="622">
        <f t="shared" si="1"/>
        <v>276973.86</v>
      </c>
      <c r="H33" s="620">
        <f t="shared" si="3"/>
        <v>276973.86</v>
      </c>
      <c r="I33" s="620">
        <f t="shared" si="3"/>
        <v>0</v>
      </c>
      <c r="J33" s="642">
        <f t="shared" si="2"/>
        <v>276973.86</v>
      </c>
    </row>
    <row r="34" spans="1:10" x14ac:dyDescent="0.25">
      <c r="A34" s="654" t="s">
        <v>460</v>
      </c>
      <c r="B34" s="651">
        <v>0</v>
      </c>
      <c r="C34" s="622">
        <v>0</v>
      </c>
      <c r="D34" s="620">
        <f t="shared" si="0"/>
        <v>0</v>
      </c>
      <c r="E34" s="622">
        <v>150</v>
      </c>
      <c r="F34" s="622">
        <v>0</v>
      </c>
      <c r="G34" s="622">
        <f t="shared" si="1"/>
        <v>150</v>
      </c>
      <c r="H34" s="620">
        <f t="shared" si="3"/>
        <v>150</v>
      </c>
      <c r="I34" s="620">
        <f t="shared" si="3"/>
        <v>0</v>
      </c>
      <c r="J34" s="642">
        <f t="shared" si="2"/>
        <v>150</v>
      </c>
    </row>
    <row r="35" spans="1:10" x14ac:dyDescent="0.25">
      <c r="A35" s="654" t="s">
        <v>461</v>
      </c>
      <c r="B35" s="651">
        <v>22216.66</v>
      </c>
      <c r="C35" s="622">
        <v>0</v>
      </c>
      <c r="D35" s="620">
        <f t="shared" si="0"/>
        <v>22216.66</v>
      </c>
      <c r="E35" s="622">
        <v>0</v>
      </c>
      <c r="F35" s="622">
        <v>0</v>
      </c>
      <c r="G35" s="622">
        <f t="shared" si="1"/>
        <v>0</v>
      </c>
      <c r="H35" s="620">
        <f t="shared" si="3"/>
        <v>-22216.66</v>
      </c>
      <c r="I35" s="620">
        <f t="shared" si="3"/>
        <v>0</v>
      </c>
      <c r="J35" s="642">
        <f t="shared" si="2"/>
        <v>-22216.66</v>
      </c>
    </row>
    <row r="36" spans="1:10" x14ac:dyDescent="0.25">
      <c r="A36" s="654" t="s">
        <v>462</v>
      </c>
      <c r="B36" s="651">
        <v>0</v>
      </c>
      <c r="C36" s="622">
        <v>0</v>
      </c>
      <c r="D36" s="620">
        <f t="shared" si="0"/>
        <v>0</v>
      </c>
      <c r="E36" s="622">
        <v>15322.72</v>
      </c>
      <c r="F36" s="622">
        <v>0</v>
      </c>
      <c r="G36" s="622">
        <f t="shared" si="1"/>
        <v>15322.72</v>
      </c>
      <c r="H36" s="620">
        <f t="shared" si="3"/>
        <v>15322.72</v>
      </c>
      <c r="I36" s="620">
        <f t="shared" si="3"/>
        <v>0</v>
      </c>
      <c r="J36" s="642">
        <f t="shared" si="2"/>
        <v>15322.72</v>
      </c>
    </row>
    <row r="37" spans="1:10" ht="15.75" thickBot="1" x14ac:dyDescent="0.3">
      <c r="A37" s="655" t="s">
        <v>464</v>
      </c>
      <c r="B37" s="652">
        <v>442681889.37</v>
      </c>
      <c r="C37" s="624">
        <v>3998.27</v>
      </c>
      <c r="D37" s="620">
        <f t="shared" si="0"/>
        <v>442685887.63999999</v>
      </c>
      <c r="E37" s="624">
        <v>466084179.23000002</v>
      </c>
      <c r="F37" s="624">
        <v>7725</v>
      </c>
      <c r="G37" s="624">
        <f t="shared" si="1"/>
        <v>466091904.23000002</v>
      </c>
      <c r="H37" s="620">
        <f t="shared" si="3"/>
        <v>23402289.860000014</v>
      </c>
      <c r="I37" s="620">
        <f t="shared" si="3"/>
        <v>3726.73</v>
      </c>
      <c r="J37" s="642">
        <f t="shared" si="2"/>
        <v>23406016.590000033</v>
      </c>
    </row>
    <row r="38" spans="1:10" ht="15.75" thickBot="1" x14ac:dyDescent="0.3">
      <c r="A38" s="649" t="s">
        <v>429</v>
      </c>
      <c r="B38" s="643">
        <f>SUM(B4:B37)</f>
        <v>552114071.67999995</v>
      </c>
      <c r="C38" s="643">
        <f>SUM(C4:C37)</f>
        <v>26354557.969999995</v>
      </c>
      <c r="D38" s="643">
        <f>SUM(D4:D37)</f>
        <v>578468629.64999998</v>
      </c>
      <c r="E38" s="643">
        <f t="shared" ref="E38:J38" si="4">SUM(E4:E37)</f>
        <v>588003146.11000001</v>
      </c>
      <c r="F38" s="643">
        <f t="shared" si="4"/>
        <v>26886743.050000001</v>
      </c>
      <c r="G38" s="643">
        <f t="shared" si="4"/>
        <v>614889889.16000009</v>
      </c>
      <c r="H38" s="644">
        <f t="shared" si="4"/>
        <v>35889074.430000022</v>
      </c>
      <c r="I38" s="644">
        <f t="shared" si="4"/>
        <v>532185.07999999903</v>
      </c>
      <c r="J38" s="644">
        <f t="shared" si="4"/>
        <v>36421259.510000028</v>
      </c>
    </row>
    <row r="39" spans="1:10" x14ac:dyDescent="0.25">
      <c r="J39" s="410" t="s">
        <v>540</v>
      </c>
    </row>
    <row r="40" spans="1:10" x14ac:dyDescent="0.25">
      <c r="B40" s="645"/>
      <c r="C40" s="646"/>
      <c r="H40" s="647"/>
      <c r="I40" s="647"/>
      <c r="J40" s="647"/>
    </row>
    <row r="41" spans="1:10" x14ac:dyDescent="0.25">
      <c r="J41" s="648"/>
    </row>
  </sheetData>
  <mergeCells count="5">
    <mergeCell ref="A1:J1"/>
    <mergeCell ref="A2:A3"/>
    <mergeCell ref="B2:D2"/>
    <mergeCell ref="E2:G2"/>
    <mergeCell ref="H2:J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opLeftCell="A31" workbookViewId="0">
      <selection activeCell="I44" sqref="I44"/>
    </sheetView>
  </sheetViews>
  <sheetFormatPr defaultRowHeight="15.75" x14ac:dyDescent="0.25"/>
  <cols>
    <col min="1" max="1" width="38.28515625" style="414" customWidth="1"/>
    <col min="2" max="2" width="13.5703125" style="414" customWidth="1"/>
    <col min="3" max="3" width="9.5703125" style="424" customWidth="1"/>
    <col min="4" max="4" width="15.5703125" style="414" customWidth="1"/>
    <col min="5" max="5" width="9.85546875" style="414" customWidth="1"/>
    <col min="6" max="6" width="14.42578125" style="414" customWidth="1"/>
    <col min="7" max="7" width="9.7109375" style="425" customWidth="1"/>
    <col min="8" max="12" width="14.85546875" style="414" customWidth="1"/>
    <col min="13" max="16384" width="9.140625" style="414"/>
  </cols>
  <sheetData>
    <row r="1" spans="1:11" ht="21.75" thickBot="1" x14ac:dyDescent="0.3">
      <c r="A1" s="1038" t="s">
        <v>603</v>
      </c>
      <c r="B1" s="1038"/>
      <c r="C1" s="1038"/>
      <c r="D1" s="1038"/>
      <c r="E1" s="1038"/>
      <c r="F1" s="1038"/>
      <c r="G1" s="1038"/>
      <c r="H1" s="413"/>
      <c r="I1" s="413"/>
      <c r="J1" s="413"/>
      <c r="K1" s="413"/>
    </row>
    <row r="2" spans="1:11" s="415" customFormat="1" ht="45.75" thickBot="1" x14ac:dyDescent="0.3">
      <c r="A2" s="395" t="s">
        <v>210</v>
      </c>
      <c r="B2" s="616" t="s">
        <v>213</v>
      </c>
      <c r="C2" s="617" t="s">
        <v>79</v>
      </c>
      <c r="D2" s="616" t="s">
        <v>471</v>
      </c>
      <c r="E2" s="656" t="s">
        <v>79</v>
      </c>
      <c r="F2" s="616" t="s">
        <v>472</v>
      </c>
      <c r="G2" s="657" t="s">
        <v>79</v>
      </c>
    </row>
    <row r="3" spans="1:11" x14ac:dyDescent="0.25">
      <c r="A3" s="669" t="s">
        <v>214</v>
      </c>
      <c r="B3" s="650">
        <v>38211406.039999999</v>
      </c>
      <c r="C3" s="658">
        <f t="shared" ref="C3:C41" si="0">B3/$B$41</f>
        <v>6.5860132185366155E-2</v>
      </c>
      <c r="D3" s="620">
        <v>2875637.33</v>
      </c>
      <c r="E3" s="658">
        <f t="shared" ref="E3:E41" si="1">D3/$D$41</f>
        <v>0.12612211026477171</v>
      </c>
      <c r="F3" s="392">
        <f t="shared" ref="F3:F45" si="2">B3+D3</f>
        <v>41087043.369999997</v>
      </c>
      <c r="G3" s="659">
        <f t="shared" ref="G3:G41" si="3">F3/$F$41</f>
        <v>6.8138771986938892E-2</v>
      </c>
    </row>
    <row r="4" spans="1:11" x14ac:dyDescent="0.25">
      <c r="A4" s="670" t="s">
        <v>215</v>
      </c>
      <c r="B4" s="651">
        <v>34163929.25</v>
      </c>
      <c r="C4" s="660">
        <f t="shared" si="0"/>
        <v>5.8884012119866436E-2</v>
      </c>
      <c r="D4" s="622">
        <v>1866982.22</v>
      </c>
      <c r="E4" s="660">
        <f t="shared" si="1"/>
        <v>8.1883669737034689E-2</v>
      </c>
      <c r="F4" s="393">
        <f t="shared" si="2"/>
        <v>36030911.469999999</v>
      </c>
      <c r="G4" s="661">
        <f t="shared" si="3"/>
        <v>5.9753680473599663E-2</v>
      </c>
    </row>
    <row r="5" spans="1:11" x14ac:dyDescent="0.25">
      <c r="A5" s="670" t="s">
        <v>216</v>
      </c>
      <c r="B5" s="651">
        <v>4242927.8099999996</v>
      </c>
      <c r="C5" s="660">
        <f t="shared" si="0"/>
        <v>7.3129940868191653E-3</v>
      </c>
      <c r="D5" s="622">
        <v>822194.7</v>
      </c>
      <c r="E5" s="660">
        <f t="shared" si="1"/>
        <v>3.6060503711888757E-2</v>
      </c>
      <c r="F5" s="393">
        <f t="shared" si="2"/>
        <v>5065122.51</v>
      </c>
      <c r="G5" s="661">
        <f t="shared" si="3"/>
        <v>8.4000015451781498E-3</v>
      </c>
    </row>
    <row r="6" spans="1:11" x14ac:dyDescent="0.25">
      <c r="A6" s="670" t="s">
        <v>217</v>
      </c>
      <c r="B6" s="651">
        <v>13656120.970000001</v>
      </c>
      <c r="C6" s="660">
        <f t="shared" si="0"/>
        <v>2.353731582873601E-2</v>
      </c>
      <c r="D6" s="622">
        <v>1095249.72</v>
      </c>
      <c r="E6" s="660">
        <f t="shared" si="1"/>
        <v>4.8036379453072521E-2</v>
      </c>
      <c r="F6" s="393">
        <f t="shared" si="2"/>
        <v>14751370.690000001</v>
      </c>
      <c r="G6" s="661">
        <f t="shared" si="3"/>
        <v>2.4463680067927061E-2</v>
      </c>
    </row>
    <row r="7" spans="1:11" x14ac:dyDescent="0.25">
      <c r="A7" s="670" t="s">
        <v>218</v>
      </c>
      <c r="B7" s="651">
        <v>8054899.5800000001</v>
      </c>
      <c r="C7" s="660">
        <f t="shared" si="0"/>
        <v>1.3883204154364857E-2</v>
      </c>
      <c r="D7" s="622">
        <v>363914.15</v>
      </c>
      <c r="E7" s="660">
        <f t="shared" si="1"/>
        <v>1.5960851556065546E-2</v>
      </c>
      <c r="F7" s="393">
        <f t="shared" si="2"/>
        <v>8418813.7300000004</v>
      </c>
      <c r="G7" s="661">
        <f t="shared" si="3"/>
        <v>1.3961764636679445E-2</v>
      </c>
    </row>
    <row r="8" spans="1:11" x14ac:dyDescent="0.25">
      <c r="A8" s="670" t="s">
        <v>219</v>
      </c>
      <c r="B8" s="651">
        <v>523028.86</v>
      </c>
      <c r="C8" s="660">
        <f t="shared" si="0"/>
        <v>9.0147820837323397E-4</v>
      </c>
      <c r="D8" s="622">
        <v>161315.51999999999</v>
      </c>
      <c r="E8" s="660">
        <f t="shared" si="1"/>
        <v>7.075111172262805E-3</v>
      </c>
      <c r="F8" s="393">
        <f t="shared" si="2"/>
        <v>684344.38</v>
      </c>
      <c r="G8" s="661">
        <f t="shared" si="3"/>
        <v>1.1349170406213893E-3</v>
      </c>
    </row>
    <row r="9" spans="1:11" x14ac:dyDescent="0.25">
      <c r="A9" s="670" t="s">
        <v>220</v>
      </c>
      <c r="B9" s="651">
        <v>37194752.460000001</v>
      </c>
      <c r="C9" s="660">
        <f t="shared" si="0"/>
        <v>6.4107855938440456E-2</v>
      </c>
      <c r="D9" s="622">
        <v>4026686.27</v>
      </c>
      <c r="E9" s="660">
        <f t="shared" si="1"/>
        <v>0.1766057786384983</v>
      </c>
      <c r="F9" s="393">
        <f t="shared" si="2"/>
        <v>41221438.730000004</v>
      </c>
      <c r="G9" s="661">
        <f t="shared" si="3"/>
        <v>6.836165331496917E-2</v>
      </c>
    </row>
    <row r="10" spans="1:11" x14ac:dyDescent="0.25">
      <c r="A10" s="670" t="s">
        <v>221</v>
      </c>
      <c r="B10" s="651">
        <v>243274755.03999999</v>
      </c>
      <c r="C10" s="660">
        <f t="shared" si="0"/>
        <v>0.41930170032280162</v>
      </c>
      <c r="D10" s="622">
        <v>8116174.6500000004</v>
      </c>
      <c r="E10" s="660">
        <f t="shared" si="1"/>
        <v>0.35596598481194597</v>
      </c>
      <c r="F10" s="393">
        <f t="shared" si="2"/>
        <v>251390929.69</v>
      </c>
      <c r="G10" s="661">
        <f t="shared" si="3"/>
        <v>0.41690683565317588</v>
      </c>
    </row>
    <row r="11" spans="1:11" ht="30" x14ac:dyDescent="0.25">
      <c r="A11" s="670" t="s">
        <v>473</v>
      </c>
      <c r="B11" s="651">
        <v>76754015.379999995</v>
      </c>
      <c r="C11" s="660">
        <f t="shared" si="0"/>
        <v>0.13229111730127863</v>
      </c>
      <c r="D11" s="622">
        <v>1323105.42</v>
      </c>
      <c r="E11" s="660">
        <f t="shared" si="1"/>
        <v>5.8029865564847516E-2</v>
      </c>
      <c r="F11" s="393">
        <f t="shared" si="2"/>
        <v>78077120.799999997</v>
      </c>
      <c r="G11" s="661">
        <f t="shared" si="3"/>
        <v>0.12948313373827181</v>
      </c>
    </row>
    <row r="12" spans="1:11" x14ac:dyDescent="0.25">
      <c r="A12" s="670" t="s">
        <v>223</v>
      </c>
      <c r="B12" s="651">
        <v>1372288</v>
      </c>
      <c r="C12" s="660">
        <f t="shared" si="0"/>
        <v>2.3652379863170238E-3</v>
      </c>
      <c r="D12" s="622">
        <v>27695.85</v>
      </c>
      <c r="E12" s="660">
        <f t="shared" si="1"/>
        <v>1.214707783605166E-3</v>
      </c>
      <c r="F12" s="393">
        <f t="shared" si="2"/>
        <v>1399983.85</v>
      </c>
      <c r="G12" s="661">
        <f t="shared" si="3"/>
        <v>2.3217338731703167E-3</v>
      </c>
    </row>
    <row r="13" spans="1:11" x14ac:dyDescent="0.25">
      <c r="A13" s="670" t="s">
        <v>224</v>
      </c>
      <c r="B13" s="651">
        <v>10007994.43</v>
      </c>
      <c r="C13" s="660">
        <f t="shared" si="0"/>
        <v>1.724950490908992E-2</v>
      </c>
      <c r="D13" s="622">
        <v>149000.10999999999</v>
      </c>
      <c r="E13" s="660">
        <f t="shared" si="1"/>
        <v>6.5349716067579049E-3</v>
      </c>
      <c r="F13" s="393">
        <f t="shared" si="2"/>
        <v>10156994.539999999</v>
      </c>
      <c r="G13" s="661">
        <f t="shared" si="3"/>
        <v>1.6844364506864815E-2</v>
      </c>
    </row>
    <row r="14" spans="1:11" x14ac:dyDescent="0.25">
      <c r="A14" s="670" t="s">
        <v>225</v>
      </c>
      <c r="B14" s="651">
        <v>16010.02</v>
      </c>
      <c r="C14" s="660">
        <f t="shared" si="0"/>
        <v>2.759443168321466E-5</v>
      </c>
      <c r="D14" s="622">
        <v>5288.22</v>
      </c>
      <c r="E14" s="660">
        <f t="shared" si="1"/>
        <v>2.3193518145919013E-4</v>
      </c>
      <c r="F14" s="393">
        <f t="shared" si="2"/>
        <v>21298.240000000002</v>
      </c>
      <c r="G14" s="661">
        <f t="shared" si="3"/>
        <v>3.5321011200887043E-5</v>
      </c>
    </row>
    <row r="15" spans="1:11" x14ac:dyDescent="0.25">
      <c r="A15" s="670" t="s">
        <v>226</v>
      </c>
      <c r="B15" s="651">
        <v>574.61</v>
      </c>
      <c r="C15" s="660">
        <f t="shared" si="0"/>
        <v>9.9038204758594782E-7</v>
      </c>
      <c r="D15" s="622">
        <v>29531.61</v>
      </c>
      <c r="E15" s="660">
        <f t="shared" si="1"/>
        <v>1.2952220830699242E-3</v>
      </c>
      <c r="F15" s="393">
        <f t="shared" si="2"/>
        <v>30106.22</v>
      </c>
      <c r="G15" s="661">
        <f t="shared" si="3"/>
        <v>4.9928169362180605E-5</v>
      </c>
    </row>
    <row r="16" spans="1:11" x14ac:dyDescent="0.25">
      <c r="A16" s="670" t="s">
        <v>227</v>
      </c>
      <c r="B16" s="651">
        <v>429146.4</v>
      </c>
      <c r="C16" s="660">
        <f t="shared" si="0"/>
        <v>7.3966497336652368E-4</v>
      </c>
      <c r="D16" s="622">
        <v>157730.15</v>
      </c>
      <c r="E16" s="660">
        <f t="shared" si="1"/>
        <v>6.9178610121808995E-3</v>
      </c>
      <c r="F16" s="393">
        <f t="shared" si="2"/>
        <v>586876.55000000005</v>
      </c>
      <c r="G16" s="661">
        <f t="shared" si="3"/>
        <v>9.7327634565522528E-4</v>
      </c>
    </row>
    <row r="17" spans="1:7" x14ac:dyDescent="0.25">
      <c r="A17" s="670" t="s">
        <v>228</v>
      </c>
      <c r="B17" s="651">
        <v>477637.62</v>
      </c>
      <c r="C17" s="660">
        <f t="shared" si="0"/>
        <v>8.2324311115309311E-4</v>
      </c>
      <c r="D17" s="622">
        <v>90298.12</v>
      </c>
      <c r="E17" s="660">
        <f t="shared" si="1"/>
        <v>3.9603705684755405E-3</v>
      </c>
      <c r="F17" s="393">
        <f t="shared" si="2"/>
        <v>567935.74</v>
      </c>
      <c r="G17" s="661">
        <f t="shared" si="3"/>
        <v>9.4186489747153138E-4</v>
      </c>
    </row>
    <row r="18" spans="1:7" x14ac:dyDescent="0.25">
      <c r="A18" s="670" t="s">
        <v>229</v>
      </c>
      <c r="B18" s="651">
        <v>58389.440000000002</v>
      </c>
      <c r="C18" s="660">
        <f t="shared" si="0"/>
        <v>1.0063843849671402E-4</v>
      </c>
      <c r="D18" s="622">
        <v>134.81</v>
      </c>
      <c r="E18" s="660">
        <f t="shared" si="1"/>
        <v>5.912609878657359E-6</v>
      </c>
      <c r="F18" s="393">
        <f t="shared" si="2"/>
        <v>58524.25</v>
      </c>
      <c r="G18" s="661">
        <f t="shared" si="3"/>
        <v>9.7056643636916158E-5</v>
      </c>
    </row>
    <row r="19" spans="1:7" x14ac:dyDescent="0.25">
      <c r="A19" s="670" t="s">
        <v>230</v>
      </c>
      <c r="B19" s="651">
        <v>29068.07</v>
      </c>
      <c r="C19" s="660">
        <f t="shared" si="0"/>
        <v>5.0100928779470702E-5</v>
      </c>
      <c r="D19" s="622">
        <v>18194.46</v>
      </c>
      <c r="E19" s="660">
        <f t="shared" si="1"/>
        <v>7.9798786390353964E-4</v>
      </c>
      <c r="F19" s="393">
        <f t="shared" si="2"/>
        <v>47262.53</v>
      </c>
      <c r="G19" s="661">
        <f t="shared" si="3"/>
        <v>7.8380201909277931E-5</v>
      </c>
    </row>
    <row r="20" spans="1:7" x14ac:dyDescent="0.25">
      <c r="A20" s="670" t="s">
        <v>231</v>
      </c>
      <c r="B20" s="651">
        <v>68382.009999999995</v>
      </c>
      <c r="C20" s="660">
        <f t="shared" si="0"/>
        <v>1.1786135828099537E-4</v>
      </c>
      <c r="D20" s="622">
        <v>53456.06</v>
      </c>
      <c r="E20" s="660">
        <f t="shared" si="1"/>
        <v>2.3445206470595692E-3</v>
      </c>
      <c r="F20" s="393">
        <f t="shared" si="2"/>
        <v>121838.06999999999</v>
      </c>
      <c r="G20" s="661">
        <f t="shared" si="3"/>
        <v>2.0205631240724392E-4</v>
      </c>
    </row>
    <row r="21" spans="1:7" x14ac:dyDescent="0.25">
      <c r="A21" s="670" t="s">
        <v>232</v>
      </c>
      <c r="B21" s="651">
        <v>1858.12</v>
      </c>
      <c r="C21" s="660">
        <f t="shared" si="0"/>
        <v>3.2026047062536347E-6</v>
      </c>
      <c r="D21" s="622">
        <v>16441.13</v>
      </c>
      <c r="E21" s="660">
        <f t="shared" si="1"/>
        <v>7.2108884841102204E-4</v>
      </c>
      <c r="F21" s="393">
        <f t="shared" si="2"/>
        <v>18299.25</v>
      </c>
      <c r="G21" s="661">
        <f t="shared" si="3"/>
        <v>3.0347484778922208E-5</v>
      </c>
    </row>
    <row r="22" spans="1:7" x14ac:dyDescent="0.25">
      <c r="A22" s="670" t="s">
        <v>233</v>
      </c>
      <c r="B22" s="651">
        <v>87193.75</v>
      </c>
      <c r="C22" s="660">
        <f t="shared" si="0"/>
        <v>1.5028475776909073E-4</v>
      </c>
      <c r="D22" s="622">
        <v>3386.42</v>
      </c>
      <c r="E22" s="660">
        <f t="shared" si="1"/>
        <v>1.4852444436824313E-4</v>
      </c>
      <c r="F22" s="393">
        <f t="shared" si="2"/>
        <v>90580.17</v>
      </c>
      <c r="G22" s="661">
        <f t="shared" si="3"/>
        <v>1.5021819639314104E-4</v>
      </c>
    </row>
    <row r="23" spans="1:7" x14ac:dyDescent="0.25">
      <c r="A23" s="670" t="s">
        <v>234</v>
      </c>
      <c r="B23" s="651">
        <v>713.62</v>
      </c>
      <c r="C23" s="660">
        <f t="shared" si="0"/>
        <v>1.2299758737200605E-6</v>
      </c>
      <c r="D23" s="622">
        <v>3639.4</v>
      </c>
      <c r="E23" s="660">
        <f t="shared" si="1"/>
        <v>1.5961985307014014E-4</v>
      </c>
      <c r="F23" s="393">
        <f t="shared" si="2"/>
        <v>4353.0200000000004</v>
      </c>
      <c r="G23" s="661">
        <f t="shared" si="3"/>
        <v>7.219050408751395E-6</v>
      </c>
    </row>
    <row r="24" spans="1:7" x14ac:dyDescent="0.25">
      <c r="A24" s="670" t="s">
        <v>235</v>
      </c>
      <c r="B24" s="651">
        <v>241088.87</v>
      </c>
      <c r="C24" s="660">
        <f t="shared" si="0"/>
        <v>4.1553416877670481E-4</v>
      </c>
      <c r="D24" s="622">
        <v>6120.2</v>
      </c>
      <c r="E24" s="660">
        <f t="shared" si="1"/>
        <v>2.6842485705332519E-4</v>
      </c>
      <c r="F24" s="393">
        <f t="shared" si="2"/>
        <v>247209.07</v>
      </c>
      <c r="G24" s="661">
        <f t="shared" si="3"/>
        <v>4.0997163758277062E-4</v>
      </c>
    </row>
    <row r="25" spans="1:7" x14ac:dyDescent="0.25">
      <c r="A25" s="670" t="s">
        <v>236</v>
      </c>
      <c r="B25" s="651">
        <v>177233.73</v>
      </c>
      <c r="C25" s="660">
        <f t="shared" si="0"/>
        <v>3.0547519955917061E-4</v>
      </c>
      <c r="D25" s="622">
        <v>46538.29</v>
      </c>
      <c r="E25" s="660">
        <f t="shared" si="1"/>
        <v>2.0411152970092796E-3</v>
      </c>
      <c r="F25" s="393">
        <f t="shared" si="2"/>
        <v>223772.02000000002</v>
      </c>
      <c r="G25" s="661">
        <f t="shared" si="3"/>
        <v>3.7110362287518217E-4</v>
      </c>
    </row>
    <row r="26" spans="1:7" x14ac:dyDescent="0.25">
      <c r="A26" s="670" t="s">
        <v>237</v>
      </c>
      <c r="B26" s="651">
        <v>47808078.990000002</v>
      </c>
      <c r="C26" s="660">
        <f t="shared" si="0"/>
        <v>8.2400694664671564E-2</v>
      </c>
      <c r="D26" s="622">
        <v>514258.02</v>
      </c>
      <c r="E26" s="660">
        <f t="shared" si="1"/>
        <v>2.2554758914255426E-2</v>
      </c>
      <c r="F26" s="393">
        <f t="shared" si="2"/>
        <v>48322337.010000005</v>
      </c>
      <c r="G26" s="661">
        <f t="shared" si="3"/>
        <v>8.0137786351513016E-2</v>
      </c>
    </row>
    <row r="27" spans="1:7" ht="30" x14ac:dyDescent="0.25">
      <c r="A27" s="670" t="s">
        <v>474</v>
      </c>
      <c r="B27" s="651">
        <v>31903915.300000001</v>
      </c>
      <c r="C27" s="660">
        <f t="shared" si="0"/>
        <v>5.498871401615469E-2</v>
      </c>
      <c r="D27" s="622">
        <v>817592.78</v>
      </c>
      <c r="E27" s="660">
        <f t="shared" si="1"/>
        <v>3.5858668850581803E-2</v>
      </c>
      <c r="F27" s="393">
        <f t="shared" si="2"/>
        <v>32721508.080000002</v>
      </c>
      <c r="G27" s="661">
        <f t="shared" si="3"/>
        <v>5.4265364340133071E-2</v>
      </c>
    </row>
    <row r="28" spans="1:7" ht="30" x14ac:dyDescent="0.25">
      <c r="A28" s="670" t="s">
        <v>475</v>
      </c>
      <c r="B28" s="651">
        <v>1499300.97</v>
      </c>
      <c r="C28" s="660">
        <f t="shared" si="0"/>
        <v>2.5841540603473616E-3</v>
      </c>
      <c r="D28" s="622">
        <v>0</v>
      </c>
      <c r="E28" s="660">
        <f t="shared" si="1"/>
        <v>0</v>
      </c>
      <c r="F28" s="393">
        <f t="shared" si="2"/>
        <v>1499300.97</v>
      </c>
      <c r="G28" s="661">
        <f t="shared" si="3"/>
        <v>2.4864414315394511E-3</v>
      </c>
    </row>
    <row r="29" spans="1:7" x14ac:dyDescent="0.25">
      <c r="A29" s="670" t="s">
        <v>476</v>
      </c>
      <c r="B29" s="651">
        <v>0</v>
      </c>
      <c r="C29" s="660">
        <f t="shared" si="0"/>
        <v>0</v>
      </c>
      <c r="D29" s="622">
        <v>0</v>
      </c>
      <c r="E29" s="660">
        <f t="shared" si="1"/>
        <v>0</v>
      </c>
      <c r="F29" s="393">
        <f t="shared" si="2"/>
        <v>0</v>
      </c>
      <c r="G29" s="661">
        <f t="shared" si="3"/>
        <v>0</v>
      </c>
    </row>
    <row r="30" spans="1:7" x14ac:dyDescent="0.25">
      <c r="A30" s="670" t="s">
        <v>241</v>
      </c>
      <c r="B30" s="651">
        <v>33.159999999999997</v>
      </c>
      <c r="C30" s="660">
        <f t="shared" si="0"/>
        <v>5.7153667179391281E-8</v>
      </c>
      <c r="D30" s="622">
        <v>16081.07</v>
      </c>
      <c r="E30" s="660">
        <f t="shared" si="1"/>
        <v>7.0529703539337217E-4</v>
      </c>
      <c r="F30" s="393">
        <f t="shared" si="2"/>
        <v>16114.23</v>
      </c>
      <c r="G30" s="661">
        <f t="shared" si="3"/>
        <v>2.6723846586556915E-5</v>
      </c>
    </row>
    <row r="31" spans="1:7" ht="30" x14ac:dyDescent="0.25">
      <c r="A31" s="670" t="s">
        <v>477</v>
      </c>
      <c r="B31" s="651">
        <v>0</v>
      </c>
      <c r="C31" s="660">
        <f t="shared" si="0"/>
        <v>0</v>
      </c>
      <c r="D31" s="622">
        <v>0</v>
      </c>
      <c r="E31" s="660">
        <f t="shared" si="1"/>
        <v>0</v>
      </c>
      <c r="F31" s="393">
        <f t="shared" si="2"/>
        <v>0</v>
      </c>
      <c r="G31" s="661">
        <f t="shared" si="3"/>
        <v>0</v>
      </c>
    </row>
    <row r="32" spans="1:7" x14ac:dyDescent="0.25">
      <c r="A32" s="670" t="s">
        <v>243</v>
      </c>
      <c r="B32" s="651">
        <v>28193370.75</v>
      </c>
      <c r="C32" s="660">
        <f t="shared" si="0"/>
        <v>4.8593321125171451E-2</v>
      </c>
      <c r="D32" s="622">
        <v>13992.8</v>
      </c>
      <c r="E32" s="660">
        <f t="shared" si="1"/>
        <v>6.1370794088032559E-4</v>
      </c>
      <c r="F32" s="393">
        <f t="shared" si="2"/>
        <v>28207363.550000001</v>
      </c>
      <c r="G32" s="661">
        <f t="shared" si="3"/>
        <v>4.6779104935292436E-2</v>
      </c>
    </row>
    <row r="33" spans="1:7" ht="30" x14ac:dyDescent="0.25">
      <c r="A33" s="670" t="s">
        <v>478</v>
      </c>
      <c r="B33" s="651">
        <v>0</v>
      </c>
      <c r="C33" s="660">
        <f t="shared" si="0"/>
        <v>0</v>
      </c>
      <c r="D33" s="622">
        <v>0</v>
      </c>
      <c r="E33" s="660">
        <f t="shared" si="1"/>
        <v>0</v>
      </c>
      <c r="F33" s="393">
        <f t="shared" si="2"/>
        <v>0</v>
      </c>
      <c r="G33" s="661">
        <f t="shared" si="3"/>
        <v>0</v>
      </c>
    </row>
    <row r="34" spans="1:7" ht="30" x14ac:dyDescent="0.25">
      <c r="A34" s="670" t="s">
        <v>479</v>
      </c>
      <c r="B34" s="651">
        <v>651804.79</v>
      </c>
      <c r="C34" s="660">
        <f t="shared" si="0"/>
        <v>1.1234328719418889E-3</v>
      </c>
      <c r="D34" s="622">
        <v>179117.73</v>
      </c>
      <c r="E34" s="660">
        <f t="shared" si="1"/>
        <v>7.8558954071706981E-3</v>
      </c>
      <c r="F34" s="393">
        <f t="shared" si="2"/>
        <v>830922.52</v>
      </c>
      <c r="G34" s="661">
        <f t="shared" si="3"/>
        <v>1.378002296715094E-3</v>
      </c>
    </row>
    <row r="35" spans="1:7" ht="30" x14ac:dyDescent="0.25">
      <c r="A35" s="670" t="s">
        <v>480</v>
      </c>
      <c r="B35" s="651">
        <v>0</v>
      </c>
      <c r="C35" s="660">
        <f t="shared" si="0"/>
        <v>0</v>
      </c>
      <c r="D35" s="622">
        <v>0</v>
      </c>
      <c r="E35" s="660">
        <f t="shared" si="1"/>
        <v>0</v>
      </c>
      <c r="F35" s="393">
        <f t="shared" si="2"/>
        <v>0</v>
      </c>
      <c r="G35" s="661">
        <f t="shared" si="3"/>
        <v>0</v>
      </c>
    </row>
    <row r="36" spans="1:7" ht="30" x14ac:dyDescent="0.25">
      <c r="A36" s="670" t="s">
        <v>481</v>
      </c>
      <c r="B36" s="651">
        <v>428713.96</v>
      </c>
      <c r="C36" s="660">
        <f t="shared" si="0"/>
        <v>7.3891963163446532E-4</v>
      </c>
      <c r="D36" s="622">
        <v>80</v>
      </c>
      <c r="E36" s="660">
        <f t="shared" si="1"/>
        <v>3.508706997200421E-6</v>
      </c>
      <c r="F36" s="393">
        <f t="shared" si="2"/>
        <v>428793.96</v>
      </c>
      <c r="G36" s="661">
        <f t="shared" si="3"/>
        <v>7.1111210428808714E-4</v>
      </c>
    </row>
    <row r="37" spans="1:7" ht="30" x14ac:dyDescent="0.25">
      <c r="A37" s="670" t="s">
        <v>247</v>
      </c>
      <c r="B37" s="651">
        <v>659534.75</v>
      </c>
      <c r="C37" s="660">
        <f t="shared" si="0"/>
        <v>1.1367560191418286E-3</v>
      </c>
      <c r="D37" s="622">
        <v>584.73</v>
      </c>
      <c r="E37" s="660">
        <f t="shared" si="1"/>
        <v>2.5645578030912529E-5</v>
      </c>
      <c r="F37" s="393">
        <f t="shared" si="2"/>
        <v>660119.48</v>
      </c>
      <c r="G37" s="661">
        <f t="shared" si="3"/>
        <v>1.0947424551044466E-3</v>
      </c>
    </row>
    <row r="38" spans="1:7" ht="30" x14ac:dyDescent="0.25">
      <c r="A38" s="670" t="s">
        <v>248</v>
      </c>
      <c r="B38" s="651">
        <v>2075.39</v>
      </c>
      <c r="C38" s="660">
        <f t="shared" si="0"/>
        <v>3.5770853235053338E-6</v>
      </c>
      <c r="D38" s="622">
        <v>0</v>
      </c>
      <c r="E38" s="660">
        <f t="shared" si="1"/>
        <v>0</v>
      </c>
      <c r="F38" s="393">
        <f t="shared" si="2"/>
        <v>2075.39</v>
      </c>
      <c r="G38" s="661">
        <f t="shared" si="3"/>
        <v>3.4418277489693488E-6</v>
      </c>
    </row>
    <row r="39" spans="1:7" ht="30" x14ac:dyDescent="0.25">
      <c r="A39" s="671" t="s">
        <v>482</v>
      </c>
      <c r="B39" s="651">
        <v>0</v>
      </c>
      <c r="C39" s="660">
        <f t="shared" si="0"/>
        <v>0</v>
      </c>
      <c r="D39" s="624">
        <v>0</v>
      </c>
      <c r="E39" s="662"/>
      <c r="F39" s="394"/>
      <c r="G39" s="661">
        <f t="shared" si="3"/>
        <v>0</v>
      </c>
    </row>
    <row r="40" spans="1:7" ht="30.75" thickBot="1" x14ac:dyDescent="0.3">
      <c r="A40" s="671" t="s">
        <v>483</v>
      </c>
      <c r="B40" s="652">
        <v>0</v>
      </c>
      <c r="C40" s="662">
        <f t="shared" si="0"/>
        <v>0</v>
      </c>
      <c r="D40" s="624">
        <v>0</v>
      </c>
      <c r="E40" s="662">
        <f t="shared" si="1"/>
        <v>0</v>
      </c>
      <c r="F40" s="394">
        <f t="shared" si="2"/>
        <v>0</v>
      </c>
      <c r="G40" s="663">
        <f t="shared" si="3"/>
        <v>0</v>
      </c>
    </row>
    <row r="41" spans="1:7" ht="16.5" thickBot="1" x14ac:dyDescent="0.3">
      <c r="A41" s="847" t="s">
        <v>21</v>
      </c>
      <c r="B41" s="762">
        <f>SUM(B3:B40)</f>
        <v>580190242.13999999</v>
      </c>
      <c r="C41" s="848">
        <f t="shared" si="0"/>
        <v>1</v>
      </c>
      <c r="D41" s="849">
        <f>SUM(D3:D40)</f>
        <v>22800421.940000001</v>
      </c>
      <c r="E41" s="848">
        <f t="shared" si="1"/>
        <v>1</v>
      </c>
      <c r="F41" s="849">
        <f>SUM(F3:F40)</f>
        <v>602990664.08000016</v>
      </c>
      <c r="G41" s="850">
        <f t="shared" si="3"/>
        <v>1</v>
      </c>
    </row>
    <row r="42" spans="1:7" x14ac:dyDescent="0.25">
      <c r="A42" s="843" t="s">
        <v>484</v>
      </c>
      <c r="B42" s="805">
        <v>7812903.9699999997</v>
      </c>
      <c r="C42" s="844"/>
      <c r="D42" s="392">
        <v>4086321.11</v>
      </c>
      <c r="E42" s="845"/>
      <c r="F42" s="392">
        <f t="shared" si="2"/>
        <v>11899225.08</v>
      </c>
      <c r="G42" s="846"/>
    </row>
    <row r="43" spans="1:7" x14ac:dyDescent="0.25">
      <c r="A43" s="670" t="s">
        <v>466</v>
      </c>
      <c r="B43" s="675">
        <v>231468.83</v>
      </c>
      <c r="C43" s="665"/>
      <c r="D43" s="393">
        <v>567845.94999999995</v>
      </c>
      <c r="E43" s="666"/>
      <c r="F43" s="393">
        <f t="shared" si="2"/>
        <v>799314.77999999991</v>
      </c>
      <c r="G43" s="664"/>
    </row>
    <row r="44" spans="1:7" ht="16.5" thickBot="1" x14ac:dyDescent="0.3">
      <c r="A44" s="671" t="s">
        <v>467</v>
      </c>
      <c r="B44" s="806">
        <v>0</v>
      </c>
      <c r="C44" s="851"/>
      <c r="D44" s="394">
        <v>0</v>
      </c>
      <c r="E44" s="852"/>
      <c r="F44" s="394">
        <f t="shared" si="2"/>
        <v>0</v>
      </c>
      <c r="G44" s="853"/>
    </row>
    <row r="45" spans="1:7" ht="16.5" thickBot="1" x14ac:dyDescent="0.3">
      <c r="A45" s="854" t="s">
        <v>468</v>
      </c>
      <c r="B45" s="762">
        <f>B42-(B43+B44)</f>
        <v>7581435.1399999997</v>
      </c>
      <c r="C45" s="855"/>
      <c r="D45" s="849">
        <f>D42-(D43+D44)</f>
        <v>3518475.16</v>
      </c>
      <c r="E45" s="856"/>
      <c r="F45" s="644">
        <f t="shared" si="2"/>
        <v>11099910.300000001</v>
      </c>
      <c r="G45" s="857"/>
    </row>
    <row r="46" spans="1:7" x14ac:dyDescent="0.25">
      <c r="B46" s="113"/>
      <c r="G46" s="410" t="s">
        <v>540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13" zoomScale="90" zoomScaleNormal="90" workbookViewId="0">
      <selection activeCell="A40" sqref="A40:F40"/>
    </sheetView>
  </sheetViews>
  <sheetFormatPr defaultRowHeight="15.75" x14ac:dyDescent="0.25"/>
  <cols>
    <col min="1" max="1" width="61.7109375" style="419" customWidth="1"/>
    <col min="2" max="2" width="16.42578125" style="419" customWidth="1"/>
    <col min="3" max="3" width="16.85546875" style="419" customWidth="1"/>
    <col min="4" max="4" width="14.85546875" style="419" bestFit="1" customWidth="1"/>
    <col min="5" max="5" width="14.85546875" style="419" customWidth="1"/>
    <col min="6" max="6" width="16.85546875" style="419" bestFit="1" customWidth="1"/>
    <col min="7" max="7" width="15.7109375" style="419" customWidth="1"/>
    <col min="8" max="8" width="19.140625" style="419" customWidth="1"/>
    <col min="9" max="9" width="16.42578125" style="419" customWidth="1"/>
    <col min="10" max="10" width="17.140625" style="419" customWidth="1"/>
    <col min="11" max="13" width="14.85546875" style="419" customWidth="1"/>
    <col min="14" max="16384" width="9.140625" style="419"/>
  </cols>
  <sheetData>
    <row r="1" spans="1:12" ht="21.75" thickBot="1" x14ac:dyDescent="0.3">
      <c r="A1" s="1079" t="s">
        <v>604</v>
      </c>
      <c r="B1" s="1079"/>
      <c r="C1" s="1079"/>
      <c r="D1" s="1079"/>
      <c r="E1" s="1079"/>
      <c r="F1" s="1079"/>
      <c r="G1" s="1079"/>
      <c r="H1" s="1079"/>
      <c r="I1" s="1079"/>
      <c r="J1" s="1079"/>
      <c r="K1" s="426"/>
      <c r="L1" s="426"/>
    </row>
    <row r="2" spans="1:12" ht="21" thickBot="1" x14ac:dyDescent="0.3">
      <c r="A2" s="1080" t="s">
        <v>210</v>
      </c>
      <c r="B2" s="1082" t="s">
        <v>211</v>
      </c>
      <c r="C2" s="1083"/>
      <c r="D2" s="1084"/>
      <c r="E2" s="1082" t="s">
        <v>212</v>
      </c>
      <c r="F2" s="1083"/>
      <c r="G2" s="1085"/>
      <c r="H2" s="1086" t="s">
        <v>469</v>
      </c>
      <c r="I2" s="1083"/>
      <c r="J2" s="1084"/>
      <c r="K2" s="426"/>
      <c r="L2" s="426"/>
    </row>
    <row r="3" spans="1:12" s="420" customFormat="1" ht="45.75" thickBot="1" x14ac:dyDescent="0.3">
      <c r="A3" s="1081"/>
      <c r="B3" s="679" t="s">
        <v>213</v>
      </c>
      <c r="C3" s="677" t="s">
        <v>471</v>
      </c>
      <c r="D3" s="678" t="s">
        <v>472</v>
      </c>
      <c r="E3" s="679" t="s">
        <v>213</v>
      </c>
      <c r="F3" s="677" t="s">
        <v>471</v>
      </c>
      <c r="G3" s="680" t="s">
        <v>472</v>
      </c>
      <c r="H3" s="676" t="s">
        <v>213</v>
      </c>
      <c r="I3" s="677" t="s">
        <v>471</v>
      </c>
      <c r="J3" s="678" t="s">
        <v>472</v>
      </c>
    </row>
    <row r="4" spans="1:12" x14ac:dyDescent="0.25">
      <c r="A4" s="699" t="s">
        <v>214</v>
      </c>
      <c r="B4" s="681">
        <v>32950979.850000001</v>
      </c>
      <c r="C4" s="682">
        <v>3137937.66</v>
      </c>
      <c r="D4" s="683">
        <f t="shared" ref="D4:D40" si="0">B4+C4</f>
        <v>36088917.510000005</v>
      </c>
      <c r="E4" s="681">
        <v>38211406.039999999</v>
      </c>
      <c r="F4" s="682">
        <v>2875637.33</v>
      </c>
      <c r="G4" s="684">
        <f t="shared" ref="G4:G44" si="1">E4+F4</f>
        <v>41087043.369999997</v>
      </c>
      <c r="H4" s="692">
        <f>E4-B4</f>
        <v>5260426.1899999976</v>
      </c>
      <c r="I4" s="683">
        <f>F4-C4</f>
        <v>-262300.33000000007</v>
      </c>
      <c r="J4" s="693">
        <f>H4+I4</f>
        <v>4998125.8599999975</v>
      </c>
    </row>
    <row r="5" spans="1:12" x14ac:dyDescent="0.25">
      <c r="A5" s="700" t="s">
        <v>215</v>
      </c>
      <c r="B5" s="685">
        <v>36131392.310000002</v>
      </c>
      <c r="C5" s="686">
        <v>1827750.43</v>
      </c>
      <c r="D5" s="686">
        <f t="shared" si="0"/>
        <v>37959142.740000002</v>
      </c>
      <c r="E5" s="685">
        <v>34163929.25</v>
      </c>
      <c r="F5" s="686">
        <v>1866982.22</v>
      </c>
      <c r="G5" s="687">
        <f t="shared" si="1"/>
        <v>36030911.469999999</v>
      </c>
      <c r="H5" s="688">
        <f t="shared" ref="H5:I44" si="2">E5-B5</f>
        <v>-1967463.0600000024</v>
      </c>
      <c r="I5" s="686">
        <f t="shared" si="2"/>
        <v>39231.790000000037</v>
      </c>
      <c r="J5" s="689">
        <f t="shared" ref="J5:J44" si="3">H5+I5</f>
        <v>-1928231.2700000023</v>
      </c>
    </row>
    <row r="6" spans="1:12" x14ac:dyDescent="0.25">
      <c r="A6" s="700" t="s">
        <v>216</v>
      </c>
      <c r="B6" s="685">
        <v>4282509.75</v>
      </c>
      <c r="C6" s="686">
        <v>639514.64</v>
      </c>
      <c r="D6" s="686">
        <f t="shared" si="0"/>
        <v>4922024.3899999997</v>
      </c>
      <c r="E6" s="685">
        <v>4242927.8099999996</v>
      </c>
      <c r="F6" s="686">
        <v>822194.7</v>
      </c>
      <c r="G6" s="687">
        <f t="shared" si="1"/>
        <v>5065122.51</v>
      </c>
      <c r="H6" s="688">
        <f t="shared" si="2"/>
        <v>-39581.94000000041</v>
      </c>
      <c r="I6" s="686">
        <f t="shared" si="2"/>
        <v>182680.05999999994</v>
      </c>
      <c r="J6" s="689">
        <f t="shared" si="3"/>
        <v>143098.11999999953</v>
      </c>
    </row>
    <row r="7" spans="1:12" x14ac:dyDescent="0.25">
      <c r="A7" s="700" t="s">
        <v>217</v>
      </c>
      <c r="B7" s="685">
        <v>11729712.710000001</v>
      </c>
      <c r="C7" s="686">
        <v>1372930.12</v>
      </c>
      <c r="D7" s="686">
        <f t="shared" si="0"/>
        <v>13102642.830000002</v>
      </c>
      <c r="E7" s="685">
        <v>13656120.970000001</v>
      </c>
      <c r="F7" s="686">
        <v>1095249.72</v>
      </c>
      <c r="G7" s="687">
        <f t="shared" si="1"/>
        <v>14751370.690000001</v>
      </c>
      <c r="H7" s="688">
        <f t="shared" si="2"/>
        <v>1926408.2599999998</v>
      </c>
      <c r="I7" s="686">
        <f t="shared" si="2"/>
        <v>-277680.40000000014</v>
      </c>
      <c r="J7" s="689">
        <f t="shared" si="3"/>
        <v>1648727.8599999996</v>
      </c>
    </row>
    <row r="8" spans="1:12" x14ac:dyDescent="0.25">
      <c r="A8" s="700" t="s">
        <v>218</v>
      </c>
      <c r="B8" s="685">
        <v>7194754.5199999996</v>
      </c>
      <c r="C8" s="686">
        <v>416294.76</v>
      </c>
      <c r="D8" s="686">
        <f t="shared" si="0"/>
        <v>7611049.2799999993</v>
      </c>
      <c r="E8" s="685">
        <v>8054899.5800000001</v>
      </c>
      <c r="F8" s="686">
        <v>363914.15</v>
      </c>
      <c r="G8" s="687">
        <f t="shared" si="1"/>
        <v>8418813.7300000004</v>
      </c>
      <c r="H8" s="688">
        <f t="shared" si="2"/>
        <v>860145.06000000052</v>
      </c>
      <c r="I8" s="686">
        <f t="shared" si="2"/>
        <v>-52380.609999999986</v>
      </c>
      <c r="J8" s="689">
        <f t="shared" si="3"/>
        <v>807764.45000000054</v>
      </c>
    </row>
    <row r="9" spans="1:12" x14ac:dyDescent="0.25">
      <c r="A9" s="700" t="s">
        <v>219</v>
      </c>
      <c r="B9" s="685">
        <v>599988.75</v>
      </c>
      <c r="C9" s="686">
        <v>172320.7</v>
      </c>
      <c r="D9" s="686">
        <f t="shared" si="0"/>
        <v>772309.45</v>
      </c>
      <c r="E9" s="685">
        <v>523028.86</v>
      </c>
      <c r="F9" s="686">
        <v>161315.51999999999</v>
      </c>
      <c r="G9" s="687">
        <f t="shared" si="1"/>
        <v>684344.38</v>
      </c>
      <c r="H9" s="688">
        <f t="shared" si="2"/>
        <v>-76959.890000000014</v>
      </c>
      <c r="I9" s="686">
        <f t="shared" si="2"/>
        <v>-11005.180000000022</v>
      </c>
      <c r="J9" s="689">
        <f t="shared" si="3"/>
        <v>-87965.070000000036</v>
      </c>
    </row>
    <row r="10" spans="1:12" x14ac:dyDescent="0.25">
      <c r="A10" s="700" t="s">
        <v>220</v>
      </c>
      <c r="B10" s="685">
        <v>38350121.859999999</v>
      </c>
      <c r="C10" s="686">
        <v>4298999.95</v>
      </c>
      <c r="D10" s="686">
        <f t="shared" si="0"/>
        <v>42649121.810000002</v>
      </c>
      <c r="E10" s="685">
        <v>37194752.460000001</v>
      </c>
      <c r="F10" s="686">
        <v>4026686.27</v>
      </c>
      <c r="G10" s="687">
        <f t="shared" si="1"/>
        <v>41221438.730000004</v>
      </c>
      <c r="H10" s="688">
        <f t="shared" si="2"/>
        <v>-1155369.3999999985</v>
      </c>
      <c r="I10" s="686">
        <f t="shared" si="2"/>
        <v>-272313.68000000017</v>
      </c>
      <c r="J10" s="689">
        <f t="shared" si="3"/>
        <v>-1427683.0799999987</v>
      </c>
    </row>
    <row r="11" spans="1:12" x14ac:dyDescent="0.25">
      <c r="A11" s="700" t="s">
        <v>221</v>
      </c>
      <c r="B11" s="685">
        <v>229693447.56</v>
      </c>
      <c r="C11" s="686">
        <v>8172476.6399999997</v>
      </c>
      <c r="D11" s="686">
        <f t="shared" si="0"/>
        <v>237865924.19999999</v>
      </c>
      <c r="E11" s="685">
        <v>243274755.03999999</v>
      </c>
      <c r="F11" s="686">
        <v>8116174.6500000004</v>
      </c>
      <c r="G11" s="687">
        <f t="shared" si="1"/>
        <v>251390929.69</v>
      </c>
      <c r="H11" s="688">
        <f t="shared" si="2"/>
        <v>13581307.479999989</v>
      </c>
      <c r="I11" s="686">
        <f t="shared" si="2"/>
        <v>-56301.989999999292</v>
      </c>
      <c r="J11" s="689">
        <f t="shared" si="3"/>
        <v>13525005.489999991</v>
      </c>
    </row>
    <row r="12" spans="1:12" x14ac:dyDescent="0.25">
      <c r="A12" s="700" t="s">
        <v>473</v>
      </c>
      <c r="B12" s="685">
        <v>73230816.629999995</v>
      </c>
      <c r="C12" s="686">
        <v>1363892.85</v>
      </c>
      <c r="D12" s="686">
        <f t="shared" si="0"/>
        <v>74594709.479999989</v>
      </c>
      <c r="E12" s="685">
        <v>76754015.379999995</v>
      </c>
      <c r="F12" s="686">
        <v>1323105.42</v>
      </c>
      <c r="G12" s="687">
        <f t="shared" si="1"/>
        <v>78077120.799999997</v>
      </c>
      <c r="H12" s="688">
        <f t="shared" si="2"/>
        <v>3523198.75</v>
      </c>
      <c r="I12" s="686">
        <f t="shared" si="2"/>
        <v>-40787.430000000168</v>
      </c>
      <c r="J12" s="689">
        <f t="shared" si="3"/>
        <v>3482411.32</v>
      </c>
    </row>
    <row r="13" spans="1:12" x14ac:dyDescent="0.25">
      <c r="A13" s="700" t="s">
        <v>223</v>
      </c>
      <c r="B13" s="685">
        <v>1342691.55</v>
      </c>
      <c r="C13" s="686">
        <v>31433.119999999999</v>
      </c>
      <c r="D13" s="686">
        <f t="shared" si="0"/>
        <v>1374124.6700000002</v>
      </c>
      <c r="E13" s="685">
        <v>1372288</v>
      </c>
      <c r="F13" s="686">
        <v>27695.85</v>
      </c>
      <c r="G13" s="687">
        <f t="shared" si="1"/>
        <v>1399983.85</v>
      </c>
      <c r="H13" s="688">
        <f t="shared" si="2"/>
        <v>29596.449999999953</v>
      </c>
      <c r="I13" s="686">
        <f t="shared" si="2"/>
        <v>-3737.2700000000004</v>
      </c>
      <c r="J13" s="689">
        <f t="shared" si="3"/>
        <v>25859.179999999953</v>
      </c>
    </row>
    <row r="14" spans="1:12" x14ac:dyDescent="0.25">
      <c r="A14" s="700" t="s">
        <v>224</v>
      </c>
      <c r="B14" s="685">
        <v>9135542.5999999996</v>
      </c>
      <c r="C14" s="686">
        <v>180037.07</v>
      </c>
      <c r="D14" s="686">
        <f t="shared" si="0"/>
        <v>9315579.6699999999</v>
      </c>
      <c r="E14" s="685">
        <v>10007994.43</v>
      </c>
      <c r="F14" s="686">
        <v>149000.10999999999</v>
      </c>
      <c r="G14" s="687">
        <f t="shared" si="1"/>
        <v>10156994.539999999</v>
      </c>
      <c r="H14" s="688">
        <f t="shared" si="2"/>
        <v>872451.83000000007</v>
      </c>
      <c r="I14" s="686">
        <f t="shared" si="2"/>
        <v>-31036.960000000021</v>
      </c>
      <c r="J14" s="689">
        <f t="shared" si="3"/>
        <v>841414.87000000011</v>
      </c>
    </row>
    <row r="15" spans="1:12" x14ac:dyDescent="0.25">
      <c r="A15" s="700" t="s">
        <v>225</v>
      </c>
      <c r="B15" s="685">
        <v>13936.65</v>
      </c>
      <c r="C15" s="686">
        <v>3903.09</v>
      </c>
      <c r="D15" s="686">
        <f t="shared" si="0"/>
        <v>17839.739999999998</v>
      </c>
      <c r="E15" s="685">
        <v>16010.02</v>
      </c>
      <c r="F15" s="686">
        <v>5288.22</v>
      </c>
      <c r="G15" s="687">
        <f t="shared" si="1"/>
        <v>21298.240000000002</v>
      </c>
      <c r="H15" s="688">
        <f t="shared" si="2"/>
        <v>2073.3700000000008</v>
      </c>
      <c r="I15" s="686">
        <f t="shared" si="2"/>
        <v>1385.13</v>
      </c>
      <c r="J15" s="689">
        <f t="shared" si="3"/>
        <v>3458.5000000000009</v>
      </c>
    </row>
    <row r="16" spans="1:12" x14ac:dyDescent="0.25">
      <c r="A16" s="700" t="s">
        <v>226</v>
      </c>
      <c r="B16" s="685">
        <v>249.27</v>
      </c>
      <c r="C16" s="686">
        <v>33695.81</v>
      </c>
      <c r="D16" s="686">
        <f t="shared" si="0"/>
        <v>33945.079999999994</v>
      </c>
      <c r="E16" s="685">
        <v>574.61</v>
      </c>
      <c r="F16" s="686">
        <v>29531.61</v>
      </c>
      <c r="G16" s="687">
        <f t="shared" si="1"/>
        <v>30106.22</v>
      </c>
      <c r="H16" s="688">
        <f t="shared" si="2"/>
        <v>325.34000000000003</v>
      </c>
      <c r="I16" s="686">
        <f t="shared" si="2"/>
        <v>-4164.1999999999971</v>
      </c>
      <c r="J16" s="689">
        <f t="shared" si="3"/>
        <v>-3838.8599999999969</v>
      </c>
    </row>
    <row r="17" spans="1:10" x14ac:dyDescent="0.25">
      <c r="A17" s="700" t="s">
        <v>227</v>
      </c>
      <c r="B17" s="685">
        <v>466232.4</v>
      </c>
      <c r="C17" s="686">
        <v>165902.26</v>
      </c>
      <c r="D17" s="686">
        <f t="shared" si="0"/>
        <v>632134.66</v>
      </c>
      <c r="E17" s="685">
        <v>429146.4</v>
      </c>
      <c r="F17" s="686">
        <v>157730.15</v>
      </c>
      <c r="G17" s="687">
        <f t="shared" si="1"/>
        <v>586876.55000000005</v>
      </c>
      <c r="H17" s="688">
        <f t="shared" si="2"/>
        <v>-37086</v>
      </c>
      <c r="I17" s="686">
        <f t="shared" si="2"/>
        <v>-8172.1100000000151</v>
      </c>
      <c r="J17" s="689">
        <f t="shared" si="3"/>
        <v>-45258.110000000015</v>
      </c>
    </row>
    <row r="18" spans="1:10" x14ac:dyDescent="0.25">
      <c r="A18" s="700" t="s">
        <v>228</v>
      </c>
      <c r="B18" s="685">
        <v>435693.59</v>
      </c>
      <c r="C18" s="686">
        <v>82349.009999999995</v>
      </c>
      <c r="D18" s="686">
        <f t="shared" si="0"/>
        <v>518042.60000000003</v>
      </c>
      <c r="E18" s="685">
        <v>477637.62</v>
      </c>
      <c r="F18" s="686">
        <v>90298.12</v>
      </c>
      <c r="G18" s="687">
        <f t="shared" si="1"/>
        <v>567935.74</v>
      </c>
      <c r="H18" s="688">
        <f t="shared" si="2"/>
        <v>41944.02999999997</v>
      </c>
      <c r="I18" s="686">
        <f t="shared" si="2"/>
        <v>7949.1100000000006</v>
      </c>
      <c r="J18" s="689">
        <f t="shared" si="3"/>
        <v>49893.13999999997</v>
      </c>
    </row>
    <row r="19" spans="1:10" x14ac:dyDescent="0.25">
      <c r="A19" s="700" t="s">
        <v>229</v>
      </c>
      <c r="B19" s="685">
        <v>2961.03</v>
      </c>
      <c r="C19" s="686">
        <v>169.55</v>
      </c>
      <c r="D19" s="686">
        <f t="shared" si="0"/>
        <v>3130.5800000000004</v>
      </c>
      <c r="E19" s="685">
        <v>58389.440000000002</v>
      </c>
      <c r="F19" s="686">
        <v>134.81</v>
      </c>
      <c r="G19" s="687">
        <f t="shared" si="1"/>
        <v>58524.25</v>
      </c>
      <c r="H19" s="688">
        <f t="shared" si="2"/>
        <v>55428.41</v>
      </c>
      <c r="I19" s="686">
        <f t="shared" si="2"/>
        <v>-34.740000000000009</v>
      </c>
      <c r="J19" s="689">
        <f t="shared" si="3"/>
        <v>55393.670000000006</v>
      </c>
    </row>
    <row r="20" spans="1:10" x14ac:dyDescent="0.25">
      <c r="A20" s="700" t="s">
        <v>230</v>
      </c>
      <c r="B20" s="685">
        <v>39641.4</v>
      </c>
      <c r="C20" s="686">
        <v>9948.74</v>
      </c>
      <c r="D20" s="686">
        <f t="shared" si="0"/>
        <v>49590.14</v>
      </c>
      <c r="E20" s="685">
        <v>29068.07</v>
      </c>
      <c r="F20" s="686">
        <v>18194.46</v>
      </c>
      <c r="G20" s="687">
        <f t="shared" si="1"/>
        <v>47262.53</v>
      </c>
      <c r="H20" s="688">
        <f t="shared" si="2"/>
        <v>-10573.330000000002</v>
      </c>
      <c r="I20" s="686">
        <f t="shared" si="2"/>
        <v>8245.7199999999993</v>
      </c>
      <c r="J20" s="689">
        <f t="shared" si="3"/>
        <v>-2327.6100000000024</v>
      </c>
    </row>
    <row r="21" spans="1:10" x14ac:dyDescent="0.25">
      <c r="A21" s="700" t="s">
        <v>231</v>
      </c>
      <c r="B21" s="685">
        <v>23841.74</v>
      </c>
      <c r="C21" s="686">
        <v>43172.63</v>
      </c>
      <c r="D21" s="686">
        <f t="shared" si="0"/>
        <v>67014.37</v>
      </c>
      <c r="E21" s="685">
        <v>68382.009999999995</v>
      </c>
      <c r="F21" s="686">
        <v>53456.06</v>
      </c>
      <c r="G21" s="687">
        <f t="shared" si="1"/>
        <v>121838.06999999999</v>
      </c>
      <c r="H21" s="688">
        <f t="shared" si="2"/>
        <v>44540.26999999999</v>
      </c>
      <c r="I21" s="686">
        <f t="shared" si="2"/>
        <v>10283.43</v>
      </c>
      <c r="J21" s="689">
        <f t="shared" si="3"/>
        <v>54823.69999999999</v>
      </c>
    </row>
    <row r="22" spans="1:10" x14ac:dyDescent="0.25">
      <c r="A22" s="700" t="s">
        <v>232</v>
      </c>
      <c r="B22" s="685">
        <v>6070.57</v>
      </c>
      <c r="C22" s="686">
        <v>26883.43</v>
      </c>
      <c r="D22" s="686">
        <f t="shared" si="0"/>
        <v>32954</v>
      </c>
      <c r="E22" s="685">
        <v>1858.12</v>
      </c>
      <c r="F22" s="686">
        <v>16441.13</v>
      </c>
      <c r="G22" s="687">
        <f t="shared" si="1"/>
        <v>18299.25</v>
      </c>
      <c r="H22" s="688">
        <f t="shared" si="2"/>
        <v>-4212.45</v>
      </c>
      <c r="I22" s="686">
        <f t="shared" si="2"/>
        <v>-10442.299999999999</v>
      </c>
      <c r="J22" s="689">
        <f t="shared" si="3"/>
        <v>-14654.75</v>
      </c>
    </row>
    <row r="23" spans="1:10" x14ac:dyDescent="0.25">
      <c r="A23" s="700" t="s">
        <v>233</v>
      </c>
      <c r="B23" s="685">
        <v>223538.86</v>
      </c>
      <c r="C23" s="686">
        <v>13907.89</v>
      </c>
      <c r="D23" s="686">
        <f t="shared" si="0"/>
        <v>237446.75</v>
      </c>
      <c r="E23" s="685">
        <v>87193.75</v>
      </c>
      <c r="F23" s="686">
        <v>3386.42</v>
      </c>
      <c r="G23" s="687">
        <f t="shared" si="1"/>
        <v>90580.17</v>
      </c>
      <c r="H23" s="688">
        <f t="shared" si="2"/>
        <v>-136345.10999999999</v>
      </c>
      <c r="I23" s="686">
        <f t="shared" si="2"/>
        <v>-10521.47</v>
      </c>
      <c r="J23" s="689">
        <f t="shared" si="3"/>
        <v>-146866.57999999999</v>
      </c>
    </row>
    <row r="24" spans="1:10" x14ac:dyDescent="0.25">
      <c r="A24" s="700" t="s">
        <v>234</v>
      </c>
      <c r="B24" s="685">
        <v>11663.76</v>
      </c>
      <c r="C24" s="686">
        <v>1368.13</v>
      </c>
      <c r="D24" s="686">
        <f t="shared" si="0"/>
        <v>13031.89</v>
      </c>
      <c r="E24" s="685">
        <v>713.62</v>
      </c>
      <c r="F24" s="686">
        <v>3639.4</v>
      </c>
      <c r="G24" s="687">
        <f t="shared" si="1"/>
        <v>4353.0200000000004</v>
      </c>
      <c r="H24" s="688">
        <f t="shared" si="2"/>
        <v>-10950.14</v>
      </c>
      <c r="I24" s="686">
        <f t="shared" si="2"/>
        <v>2271.27</v>
      </c>
      <c r="J24" s="689">
        <f t="shared" si="3"/>
        <v>-8678.869999999999</v>
      </c>
    </row>
    <row r="25" spans="1:10" x14ac:dyDescent="0.25">
      <c r="A25" s="700" t="s">
        <v>235</v>
      </c>
      <c r="B25" s="685">
        <v>197427.32</v>
      </c>
      <c r="C25" s="686">
        <v>5523.29</v>
      </c>
      <c r="D25" s="686">
        <f t="shared" si="0"/>
        <v>202950.61000000002</v>
      </c>
      <c r="E25" s="685">
        <v>241088.87</v>
      </c>
      <c r="F25" s="686">
        <v>6120.2</v>
      </c>
      <c r="G25" s="687">
        <f t="shared" si="1"/>
        <v>247209.07</v>
      </c>
      <c r="H25" s="688">
        <f t="shared" si="2"/>
        <v>43661.549999999988</v>
      </c>
      <c r="I25" s="686">
        <f t="shared" si="2"/>
        <v>596.90999999999985</v>
      </c>
      <c r="J25" s="689">
        <f t="shared" si="3"/>
        <v>44258.459999999992</v>
      </c>
    </row>
    <row r="26" spans="1:10" x14ac:dyDescent="0.25">
      <c r="A26" s="700" t="s">
        <v>236</v>
      </c>
      <c r="B26" s="685">
        <v>234646.23</v>
      </c>
      <c r="C26" s="686">
        <v>5027.1899999999996</v>
      </c>
      <c r="D26" s="686">
        <f t="shared" si="0"/>
        <v>239673.42</v>
      </c>
      <c r="E26" s="685">
        <v>177233.73</v>
      </c>
      <c r="F26" s="686">
        <v>46538.29</v>
      </c>
      <c r="G26" s="687">
        <f t="shared" si="1"/>
        <v>223772.02000000002</v>
      </c>
      <c r="H26" s="688">
        <f t="shared" si="2"/>
        <v>-57412.5</v>
      </c>
      <c r="I26" s="686">
        <f t="shared" si="2"/>
        <v>41511.1</v>
      </c>
      <c r="J26" s="689">
        <f t="shared" si="3"/>
        <v>-15901.400000000001</v>
      </c>
    </row>
    <row r="27" spans="1:10" x14ac:dyDescent="0.25">
      <c r="A27" s="700" t="s">
        <v>237</v>
      </c>
      <c r="B27" s="685">
        <v>40571529.380000003</v>
      </c>
      <c r="C27" s="686">
        <v>559207.1</v>
      </c>
      <c r="D27" s="686">
        <f t="shared" si="0"/>
        <v>41130736.480000004</v>
      </c>
      <c r="E27" s="685">
        <v>47808078.990000002</v>
      </c>
      <c r="F27" s="686">
        <v>514258.02</v>
      </c>
      <c r="G27" s="687">
        <f t="shared" si="1"/>
        <v>48322337.010000005</v>
      </c>
      <c r="H27" s="688">
        <f t="shared" si="2"/>
        <v>7236549.6099999994</v>
      </c>
      <c r="I27" s="686">
        <f t="shared" si="2"/>
        <v>-44949.079999999958</v>
      </c>
      <c r="J27" s="689">
        <f t="shared" si="3"/>
        <v>7191600.5299999993</v>
      </c>
    </row>
    <row r="28" spans="1:10" x14ac:dyDescent="0.25">
      <c r="A28" s="700" t="s">
        <v>474</v>
      </c>
      <c r="B28" s="685">
        <v>24570968.329999998</v>
      </c>
      <c r="C28" s="686">
        <v>804428.53</v>
      </c>
      <c r="D28" s="686">
        <f t="shared" si="0"/>
        <v>25375396.859999999</v>
      </c>
      <c r="E28" s="685">
        <v>31903915.300000001</v>
      </c>
      <c r="F28" s="686">
        <v>817592.78</v>
      </c>
      <c r="G28" s="687">
        <f t="shared" si="1"/>
        <v>32721508.080000002</v>
      </c>
      <c r="H28" s="688">
        <f t="shared" si="2"/>
        <v>7332946.9700000025</v>
      </c>
      <c r="I28" s="686">
        <f t="shared" si="2"/>
        <v>13164.25</v>
      </c>
      <c r="J28" s="689">
        <f t="shared" si="3"/>
        <v>7346111.2200000025</v>
      </c>
    </row>
    <row r="29" spans="1:10" ht="20.25" customHeight="1" x14ac:dyDescent="0.25">
      <c r="A29" s="700" t="s">
        <v>475</v>
      </c>
      <c r="B29" s="685">
        <v>688451.24</v>
      </c>
      <c r="C29" s="686">
        <v>0</v>
      </c>
      <c r="D29" s="686">
        <f t="shared" si="0"/>
        <v>688451.24</v>
      </c>
      <c r="E29" s="685">
        <v>1499300.97</v>
      </c>
      <c r="F29" s="686">
        <v>0</v>
      </c>
      <c r="G29" s="687">
        <f t="shared" si="1"/>
        <v>1499300.97</v>
      </c>
      <c r="H29" s="688">
        <f t="shared" si="2"/>
        <v>810849.73</v>
      </c>
      <c r="I29" s="686">
        <f t="shared" si="2"/>
        <v>0</v>
      </c>
      <c r="J29" s="689">
        <f t="shared" si="3"/>
        <v>810849.73</v>
      </c>
    </row>
    <row r="30" spans="1:10" x14ac:dyDescent="0.25">
      <c r="A30" s="700" t="s">
        <v>476</v>
      </c>
      <c r="B30" s="685">
        <v>0</v>
      </c>
      <c r="C30" s="686">
        <v>0</v>
      </c>
      <c r="D30" s="686">
        <f t="shared" si="0"/>
        <v>0</v>
      </c>
      <c r="E30" s="685">
        <v>0</v>
      </c>
      <c r="F30" s="686">
        <v>0</v>
      </c>
      <c r="G30" s="687">
        <f t="shared" si="1"/>
        <v>0</v>
      </c>
      <c r="H30" s="688">
        <f t="shared" si="2"/>
        <v>0</v>
      </c>
      <c r="I30" s="686">
        <f t="shared" si="2"/>
        <v>0</v>
      </c>
      <c r="J30" s="689">
        <f t="shared" si="3"/>
        <v>0</v>
      </c>
    </row>
    <row r="31" spans="1:10" x14ac:dyDescent="0.25">
      <c r="A31" s="700" t="s">
        <v>241</v>
      </c>
      <c r="B31" s="685">
        <v>-0.01</v>
      </c>
      <c r="C31" s="686">
        <v>16827.53</v>
      </c>
      <c r="D31" s="686">
        <f t="shared" si="0"/>
        <v>16827.52</v>
      </c>
      <c r="E31" s="685">
        <v>33.159999999999997</v>
      </c>
      <c r="F31" s="686">
        <v>16081.07</v>
      </c>
      <c r="G31" s="687">
        <f t="shared" si="1"/>
        <v>16114.23</v>
      </c>
      <c r="H31" s="688">
        <f t="shared" si="2"/>
        <v>33.169999999999995</v>
      </c>
      <c r="I31" s="686">
        <f t="shared" si="2"/>
        <v>-746.45999999999913</v>
      </c>
      <c r="J31" s="689">
        <f t="shared" si="3"/>
        <v>-713.28999999999917</v>
      </c>
    </row>
    <row r="32" spans="1:10" x14ac:dyDescent="0.25">
      <c r="A32" s="700" t="s">
        <v>477</v>
      </c>
      <c r="B32" s="685">
        <v>0</v>
      </c>
      <c r="C32" s="686">
        <v>0</v>
      </c>
      <c r="D32" s="686">
        <f t="shared" si="0"/>
        <v>0</v>
      </c>
      <c r="E32" s="685">
        <v>0</v>
      </c>
      <c r="F32" s="686">
        <v>0</v>
      </c>
      <c r="G32" s="687">
        <f t="shared" si="1"/>
        <v>0</v>
      </c>
      <c r="H32" s="688">
        <f t="shared" si="2"/>
        <v>0</v>
      </c>
      <c r="I32" s="686">
        <f t="shared" si="2"/>
        <v>0</v>
      </c>
      <c r="J32" s="689">
        <f t="shared" si="3"/>
        <v>0</v>
      </c>
    </row>
    <row r="33" spans="1:11" x14ac:dyDescent="0.25">
      <c r="A33" s="700" t="s">
        <v>243</v>
      </c>
      <c r="B33" s="685">
        <v>30686547.969999999</v>
      </c>
      <c r="C33" s="686">
        <v>357.3</v>
      </c>
      <c r="D33" s="686">
        <f t="shared" si="0"/>
        <v>30686905.27</v>
      </c>
      <c r="E33" s="685">
        <v>28193370.75</v>
      </c>
      <c r="F33" s="686">
        <v>13992.8</v>
      </c>
      <c r="G33" s="687">
        <f t="shared" si="1"/>
        <v>28207363.550000001</v>
      </c>
      <c r="H33" s="688">
        <f t="shared" si="2"/>
        <v>-2493177.2199999988</v>
      </c>
      <c r="I33" s="686">
        <f t="shared" si="2"/>
        <v>13635.5</v>
      </c>
      <c r="J33" s="689">
        <f t="shared" si="3"/>
        <v>-2479541.7199999988</v>
      </c>
    </row>
    <row r="34" spans="1:11" x14ac:dyDescent="0.25">
      <c r="A34" s="700" t="s">
        <v>244</v>
      </c>
      <c r="B34" s="685">
        <v>0</v>
      </c>
      <c r="C34" s="686">
        <v>0</v>
      </c>
      <c r="D34" s="686">
        <f t="shared" si="0"/>
        <v>0</v>
      </c>
      <c r="E34" s="685">
        <v>0</v>
      </c>
      <c r="F34" s="686">
        <v>0</v>
      </c>
      <c r="G34" s="687">
        <f t="shared" si="1"/>
        <v>0</v>
      </c>
      <c r="H34" s="688">
        <f t="shared" si="2"/>
        <v>0</v>
      </c>
      <c r="I34" s="686">
        <f t="shared" si="2"/>
        <v>0</v>
      </c>
      <c r="J34" s="689">
        <f t="shared" si="3"/>
        <v>0</v>
      </c>
    </row>
    <row r="35" spans="1:11" x14ac:dyDescent="0.25">
      <c r="A35" s="700" t="s">
        <v>479</v>
      </c>
      <c r="B35" s="685">
        <v>601262.27</v>
      </c>
      <c r="C35" s="686">
        <v>105932.87</v>
      </c>
      <c r="D35" s="686">
        <f t="shared" si="0"/>
        <v>707195.14</v>
      </c>
      <c r="E35" s="685">
        <v>651804.79</v>
      </c>
      <c r="F35" s="686">
        <v>179117.73</v>
      </c>
      <c r="G35" s="687">
        <f t="shared" si="1"/>
        <v>830922.52</v>
      </c>
      <c r="H35" s="688">
        <f t="shared" si="2"/>
        <v>50542.520000000019</v>
      </c>
      <c r="I35" s="686">
        <f t="shared" si="2"/>
        <v>73184.860000000015</v>
      </c>
      <c r="J35" s="689">
        <f t="shared" si="3"/>
        <v>123727.38000000003</v>
      </c>
    </row>
    <row r="36" spans="1:11" x14ac:dyDescent="0.25">
      <c r="A36" s="700" t="s">
        <v>481</v>
      </c>
      <c r="B36" s="685">
        <v>0</v>
      </c>
      <c r="C36" s="686">
        <v>0</v>
      </c>
      <c r="D36" s="686">
        <f t="shared" si="0"/>
        <v>0</v>
      </c>
      <c r="E36" s="685">
        <v>0</v>
      </c>
      <c r="F36" s="686">
        <v>0</v>
      </c>
      <c r="G36" s="687">
        <f t="shared" si="1"/>
        <v>0</v>
      </c>
      <c r="H36" s="688">
        <f t="shared" si="2"/>
        <v>0</v>
      </c>
      <c r="I36" s="686">
        <f t="shared" si="2"/>
        <v>0</v>
      </c>
      <c r="J36" s="689">
        <f t="shared" si="3"/>
        <v>0</v>
      </c>
    </row>
    <row r="37" spans="1:11" x14ac:dyDescent="0.25">
      <c r="A37" s="700" t="s">
        <v>247</v>
      </c>
      <c r="B37" s="685">
        <v>1369165.31</v>
      </c>
      <c r="C37" s="686">
        <v>2014.97</v>
      </c>
      <c r="D37" s="686">
        <f t="shared" si="0"/>
        <v>1371180.28</v>
      </c>
      <c r="E37" s="685">
        <v>428713.96</v>
      </c>
      <c r="F37" s="686">
        <v>80</v>
      </c>
      <c r="G37" s="687">
        <f t="shared" si="1"/>
        <v>428793.96</v>
      </c>
      <c r="H37" s="688">
        <f t="shared" si="2"/>
        <v>-940451.35000000009</v>
      </c>
      <c r="I37" s="686">
        <f t="shared" si="2"/>
        <v>-1934.97</v>
      </c>
      <c r="J37" s="689">
        <f t="shared" si="3"/>
        <v>-942386.32000000007</v>
      </c>
    </row>
    <row r="38" spans="1:11" x14ac:dyDescent="0.25">
      <c r="A38" s="700" t="s">
        <v>248</v>
      </c>
      <c r="B38" s="685">
        <v>1800</v>
      </c>
      <c r="C38" s="686">
        <v>0</v>
      </c>
      <c r="D38" s="686">
        <f t="shared" si="0"/>
        <v>1800</v>
      </c>
      <c r="E38" s="685">
        <v>659534.75</v>
      </c>
      <c r="F38" s="686">
        <v>584.73</v>
      </c>
      <c r="G38" s="687">
        <f t="shared" si="1"/>
        <v>660119.48</v>
      </c>
      <c r="H38" s="688">
        <f t="shared" si="2"/>
        <v>657734.75</v>
      </c>
      <c r="I38" s="686">
        <f t="shared" si="2"/>
        <v>584.73</v>
      </c>
      <c r="J38" s="689">
        <f t="shared" si="3"/>
        <v>658319.48</v>
      </c>
    </row>
    <row r="39" spans="1:11" x14ac:dyDescent="0.25">
      <c r="A39" s="700" t="s">
        <v>485</v>
      </c>
      <c r="B39" s="685">
        <v>0</v>
      </c>
      <c r="C39" s="686">
        <v>0</v>
      </c>
      <c r="D39" s="686"/>
      <c r="E39" s="685">
        <v>2075.39</v>
      </c>
      <c r="F39" s="686">
        <v>0</v>
      </c>
      <c r="G39" s="687">
        <f t="shared" si="1"/>
        <v>2075.39</v>
      </c>
      <c r="H39" s="688"/>
      <c r="I39" s="686"/>
      <c r="J39" s="689"/>
    </row>
    <row r="40" spans="1:11" x14ac:dyDescent="0.25">
      <c r="A40" s="700" t="s">
        <v>483</v>
      </c>
      <c r="B40" s="685">
        <v>0</v>
      </c>
      <c r="C40" s="686">
        <v>0</v>
      </c>
      <c r="D40" s="686">
        <f t="shared" si="0"/>
        <v>0</v>
      </c>
      <c r="E40" s="685">
        <v>0</v>
      </c>
      <c r="F40" s="686">
        <v>0</v>
      </c>
      <c r="G40" s="687">
        <f t="shared" si="1"/>
        <v>0</v>
      </c>
      <c r="H40" s="688">
        <f t="shared" si="2"/>
        <v>0</v>
      </c>
      <c r="I40" s="686">
        <f t="shared" si="2"/>
        <v>0</v>
      </c>
      <c r="J40" s="689">
        <f t="shared" si="3"/>
        <v>0</v>
      </c>
    </row>
    <row r="41" spans="1:11" ht="16.5" thickBot="1" x14ac:dyDescent="0.3">
      <c r="A41" s="701" t="s">
        <v>21</v>
      </c>
      <c r="B41" s="690">
        <f>SUM(B4:B40)</f>
        <v>544787585.39999986</v>
      </c>
      <c r="C41" s="690">
        <f>SUM(C4:C40)</f>
        <v>23494207.260000005</v>
      </c>
      <c r="D41" s="690">
        <f t="shared" ref="D41:J41" si="4">SUM(D4:D40)</f>
        <v>568281792.65999997</v>
      </c>
      <c r="E41" s="690">
        <f t="shared" si="4"/>
        <v>580190242.13999999</v>
      </c>
      <c r="F41" s="690">
        <f t="shared" si="4"/>
        <v>22800421.940000001</v>
      </c>
      <c r="G41" s="703">
        <f t="shared" si="4"/>
        <v>602990664.08000016</v>
      </c>
      <c r="H41" s="705">
        <f t="shared" si="4"/>
        <v>35400581.350000001</v>
      </c>
      <c r="I41" s="690">
        <f t="shared" si="4"/>
        <v>-693785.31999999983</v>
      </c>
      <c r="J41" s="706">
        <f t="shared" si="4"/>
        <v>34706796.029999994</v>
      </c>
    </row>
    <row r="42" spans="1:11" x14ac:dyDescent="0.25">
      <c r="A42" s="702" t="s">
        <v>484</v>
      </c>
      <c r="B42" s="697">
        <v>43213853.340000033</v>
      </c>
      <c r="C42" s="683">
        <v>4086321.11</v>
      </c>
      <c r="D42" s="691">
        <v>47300174.450000033</v>
      </c>
      <c r="E42" s="683">
        <v>7812903.9700000286</v>
      </c>
      <c r="F42" s="683">
        <v>4086321.11</v>
      </c>
      <c r="G42" s="691">
        <f t="shared" si="1"/>
        <v>11899225.080000028</v>
      </c>
      <c r="H42" s="692">
        <f t="shared" si="2"/>
        <v>-35400949.370000005</v>
      </c>
      <c r="I42" s="692">
        <f t="shared" si="2"/>
        <v>0</v>
      </c>
      <c r="J42" s="693">
        <f t="shared" si="3"/>
        <v>-35400949.370000005</v>
      </c>
      <c r="K42" s="427"/>
    </row>
    <row r="43" spans="1:11" x14ac:dyDescent="0.25">
      <c r="A43" s="700" t="s">
        <v>466</v>
      </c>
      <c r="B43" s="685">
        <v>231468.83</v>
      </c>
      <c r="C43" s="686">
        <v>567845.94999999995</v>
      </c>
      <c r="D43" s="687">
        <v>799314.77999999991</v>
      </c>
      <c r="E43" s="686">
        <v>231468.83</v>
      </c>
      <c r="F43" s="686">
        <v>567845.94999999995</v>
      </c>
      <c r="G43" s="687">
        <f t="shared" si="1"/>
        <v>799314.77999999991</v>
      </c>
      <c r="H43" s="688">
        <f t="shared" si="2"/>
        <v>0</v>
      </c>
      <c r="I43" s="688">
        <f t="shared" si="2"/>
        <v>0</v>
      </c>
      <c r="J43" s="689">
        <f t="shared" si="3"/>
        <v>0</v>
      </c>
      <c r="K43" s="427"/>
    </row>
    <row r="44" spans="1:11" x14ac:dyDescent="0.25">
      <c r="A44" s="700" t="s">
        <v>467</v>
      </c>
      <c r="B44" s="685">
        <v>0</v>
      </c>
      <c r="C44" s="686">
        <v>0</v>
      </c>
      <c r="D44" s="687">
        <v>0</v>
      </c>
      <c r="E44" s="686">
        <v>0</v>
      </c>
      <c r="F44" s="686">
        <v>0</v>
      </c>
      <c r="G44" s="687">
        <f t="shared" si="1"/>
        <v>0</v>
      </c>
      <c r="H44" s="688">
        <f t="shared" si="2"/>
        <v>0</v>
      </c>
      <c r="I44" s="688">
        <f t="shared" si="2"/>
        <v>0</v>
      </c>
      <c r="J44" s="689">
        <f t="shared" si="3"/>
        <v>0</v>
      </c>
      <c r="K44" s="427"/>
    </row>
    <row r="45" spans="1:11" ht="16.5" thickBot="1" x14ac:dyDescent="0.3">
      <c r="A45" s="701" t="s">
        <v>468</v>
      </c>
      <c r="B45" s="698">
        <f t="shared" ref="B45:J45" si="5">B42-B43-B44</f>
        <v>42982384.510000035</v>
      </c>
      <c r="C45" s="694">
        <f t="shared" si="5"/>
        <v>3518475.16</v>
      </c>
      <c r="D45" s="694">
        <f t="shared" si="5"/>
        <v>46500859.670000032</v>
      </c>
      <c r="E45" s="695">
        <f t="shared" si="5"/>
        <v>7581435.1400000285</v>
      </c>
      <c r="F45" s="695">
        <f t="shared" si="5"/>
        <v>3518475.16</v>
      </c>
      <c r="G45" s="704">
        <f t="shared" si="5"/>
        <v>11099910.300000029</v>
      </c>
      <c r="H45" s="707">
        <f t="shared" si="5"/>
        <v>-35400949.370000005</v>
      </c>
      <c r="I45" s="695">
        <f t="shared" si="5"/>
        <v>0</v>
      </c>
      <c r="J45" s="696">
        <f t="shared" si="5"/>
        <v>-35400949.370000005</v>
      </c>
      <c r="K45" s="427"/>
    </row>
    <row r="46" spans="1:11" x14ac:dyDescent="0.25">
      <c r="E46" s="421"/>
      <c r="H46" s="423"/>
      <c r="J46" s="410" t="s">
        <v>540</v>
      </c>
    </row>
    <row r="47" spans="1:11" x14ac:dyDescent="0.25">
      <c r="H47" s="422"/>
    </row>
  </sheetData>
  <mergeCells count="5">
    <mergeCell ref="A1:J1"/>
    <mergeCell ref="A2:A3"/>
    <mergeCell ref="B2:D2"/>
    <mergeCell ref="E2:G2"/>
    <mergeCell ref="H2:J2"/>
  </mergeCells>
  <pageMargins left="0.70866141732283472" right="0.31496062992125984" top="0.74803149606299213" bottom="0.74803149606299213" header="0.31496062992125984" footer="0.31496062992125984"/>
  <pageSetup paperSize="9" scale="6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zoomScaleNormal="100" workbookViewId="0">
      <selection activeCell="Q18" sqref="Q18"/>
    </sheetView>
  </sheetViews>
  <sheetFormatPr defaultRowHeight="15" x14ac:dyDescent="0.25"/>
  <cols>
    <col min="1" max="1" width="12.7109375" customWidth="1"/>
    <col min="10" max="10" width="1.7109375" style="14" customWidth="1"/>
    <col min="15" max="15" width="12.7109375" customWidth="1"/>
  </cols>
  <sheetData>
    <row r="1" spans="1:15" ht="47.25" customHeight="1" thickBot="1" x14ac:dyDescent="0.3">
      <c r="A1" s="922" t="s">
        <v>7</v>
      </c>
      <c r="B1" s="922"/>
      <c r="C1" s="922"/>
      <c r="D1" s="922"/>
      <c r="E1" s="922"/>
      <c r="F1" s="922"/>
      <c r="G1" s="922"/>
      <c r="H1" s="922"/>
      <c r="I1" s="922"/>
      <c r="J1" s="922"/>
      <c r="K1" s="922"/>
      <c r="L1" s="922"/>
      <c r="M1" s="922"/>
      <c r="N1" s="922"/>
    </row>
    <row r="2" spans="1:15" ht="15.75" customHeight="1" thickBot="1" x14ac:dyDescent="0.3">
      <c r="A2" s="11"/>
      <c r="B2" s="11"/>
      <c r="C2" s="11"/>
      <c r="D2" s="11"/>
      <c r="E2" s="11"/>
      <c r="F2" s="11"/>
      <c r="G2" s="11"/>
      <c r="H2" s="11"/>
      <c r="I2" s="11"/>
      <c r="J2" s="13"/>
      <c r="K2" s="923" t="s">
        <v>179</v>
      </c>
      <c r="L2" s="924"/>
      <c r="M2" s="924"/>
      <c r="N2" s="925"/>
    </row>
    <row r="3" spans="1:15" ht="15.75" thickBot="1" x14ac:dyDescent="0.3">
      <c r="A3" s="6"/>
      <c r="B3" s="941" t="s">
        <v>0</v>
      </c>
      <c r="C3" s="940"/>
      <c r="D3" s="941" t="s">
        <v>1</v>
      </c>
      <c r="E3" s="940"/>
      <c r="F3" s="941" t="s">
        <v>2</v>
      </c>
      <c r="G3" s="940"/>
      <c r="H3" s="939" t="s">
        <v>178</v>
      </c>
      <c r="I3" s="940"/>
      <c r="J3" s="1"/>
      <c r="K3" s="939" t="s">
        <v>2</v>
      </c>
      <c r="L3" s="940"/>
      <c r="M3" s="945" t="s">
        <v>178</v>
      </c>
      <c r="N3" s="946"/>
    </row>
    <row r="4" spans="1:15" ht="15.75" thickBot="1" x14ac:dyDescent="0.3">
      <c r="A4" s="158" t="s">
        <v>99</v>
      </c>
      <c r="B4" s="159">
        <v>196071</v>
      </c>
      <c r="C4" s="160">
        <v>0.89099287009392902</v>
      </c>
      <c r="D4" s="159">
        <v>194992</v>
      </c>
      <c r="E4" s="160">
        <v>0.86369072402398939</v>
      </c>
      <c r="F4" s="159">
        <v>187644</v>
      </c>
      <c r="G4" s="160">
        <v>0.83179956380658548</v>
      </c>
      <c r="H4" s="161">
        <v>179658</v>
      </c>
      <c r="I4" s="162">
        <v>0.82779999999999998</v>
      </c>
      <c r="J4" s="2"/>
      <c r="K4" s="161">
        <v>4730</v>
      </c>
      <c r="L4" s="162">
        <f>+K4/$F$26</f>
        <v>2.0967427345426174E-2</v>
      </c>
      <c r="M4" s="161">
        <v>4858</v>
      </c>
      <c r="N4" s="163">
        <f xml:space="preserve"> M4/H26</f>
        <v>2.2383074009740184E-2</v>
      </c>
      <c r="O4" s="74"/>
    </row>
    <row r="5" spans="1:15" x14ac:dyDescent="0.25">
      <c r="A5" s="25"/>
      <c r="B5" s="932" t="s">
        <v>10</v>
      </c>
      <c r="C5" s="933"/>
      <c r="D5" s="933"/>
      <c r="E5" s="933"/>
      <c r="F5" s="934"/>
      <c r="G5" s="934"/>
      <c r="H5" s="933"/>
      <c r="I5" s="935"/>
      <c r="J5" s="12"/>
      <c r="K5" s="926" t="s">
        <v>10</v>
      </c>
      <c r="L5" s="927"/>
      <c r="M5" s="927"/>
      <c r="N5" s="928"/>
      <c r="O5" s="74"/>
    </row>
    <row r="6" spans="1:15" x14ac:dyDescent="0.25">
      <c r="A6" s="8" t="s">
        <v>3</v>
      </c>
      <c r="B6" s="45">
        <v>86602</v>
      </c>
      <c r="C6" s="164">
        <v>0.39353991429571161</v>
      </c>
      <c r="D6" s="45">
        <v>86524</v>
      </c>
      <c r="E6" s="164">
        <v>0.38324637013544999</v>
      </c>
      <c r="F6" s="45">
        <v>84763</v>
      </c>
      <c r="G6" s="164">
        <v>0.37574250403390252</v>
      </c>
      <c r="H6" s="46">
        <v>79915</v>
      </c>
      <c r="I6" s="165">
        <f xml:space="preserve"> H6/H26</f>
        <v>0.36820571418040077</v>
      </c>
      <c r="J6" s="3"/>
      <c r="K6" s="46">
        <v>1010</v>
      </c>
      <c r="L6" s="165">
        <f>+K6/$F$26</f>
        <v>4.4771885029345534E-3</v>
      </c>
      <c r="M6" s="10">
        <v>946</v>
      </c>
      <c r="N6" s="165">
        <f xml:space="preserve"> M6/H26</f>
        <v>4.3586636503116947E-3</v>
      </c>
      <c r="O6" s="74"/>
    </row>
    <row r="7" spans="1:15" x14ac:dyDescent="0.25">
      <c r="A7" s="8" t="s">
        <v>4</v>
      </c>
      <c r="B7" s="45">
        <v>29811</v>
      </c>
      <c r="C7" s="164">
        <v>0.13546821534224912</v>
      </c>
      <c r="D7" s="45">
        <v>20529</v>
      </c>
      <c r="E7" s="164">
        <v>9.0930432394603258E-2</v>
      </c>
      <c r="F7" s="45">
        <v>9862</v>
      </c>
      <c r="G7" s="164">
        <v>4.3716864372218382E-2</v>
      </c>
      <c r="H7" s="46">
        <v>9494</v>
      </c>
      <c r="I7" s="165">
        <f xml:space="preserve"> H7/H26</f>
        <v>4.374329037638397E-2</v>
      </c>
      <c r="J7" s="3"/>
      <c r="K7" s="46">
        <v>1712</v>
      </c>
      <c r="L7" s="165">
        <f>+K7/$F$26</f>
        <v>7.5890561554692627E-3</v>
      </c>
      <c r="M7" s="46">
        <v>2020</v>
      </c>
      <c r="N7" s="165">
        <f xml:space="preserve"> M7/H26</f>
        <v>9.3070830588051004E-3</v>
      </c>
      <c r="O7" s="74"/>
    </row>
    <row r="8" spans="1:15" x14ac:dyDescent="0.25">
      <c r="A8" s="8" t="s">
        <v>5</v>
      </c>
      <c r="B8" s="45">
        <v>12571</v>
      </c>
      <c r="C8" s="164">
        <v>5.7125589046573902E-2</v>
      </c>
      <c r="D8" s="45">
        <v>26843</v>
      </c>
      <c r="E8" s="164">
        <v>0.11889744248469654</v>
      </c>
      <c r="F8" s="45">
        <v>38807</v>
      </c>
      <c r="G8" s="164">
        <v>0.17202599429047644</v>
      </c>
      <c r="H8" s="46">
        <v>39483</v>
      </c>
      <c r="I8" s="165">
        <f xml:space="preserve"> H8/H26</f>
        <v>0.18191661406475335</v>
      </c>
      <c r="J8" s="3"/>
      <c r="K8" s="10">
        <v>437</v>
      </c>
      <c r="L8" s="165">
        <f>+K8/$F$26</f>
        <v>1.937159778002376E-3</v>
      </c>
      <c r="M8" s="10">
        <v>425</v>
      </c>
      <c r="N8" s="165">
        <f xml:space="preserve"> M8/H26</f>
        <v>1.9581734158377064E-3</v>
      </c>
      <c r="O8" s="74"/>
    </row>
    <row r="9" spans="1:15" x14ac:dyDescent="0.25">
      <c r="A9" s="8" t="s">
        <v>6</v>
      </c>
      <c r="B9" s="45">
        <v>3903</v>
      </c>
      <c r="C9" s="164">
        <v>1.7736152577263371E-2</v>
      </c>
      <c r="D9" s="45">
        <v>4323</v>
      </c>
      <c r="E9" s="164">
        <v>1.9148144539035992E-2</v>
      </c>
      <c r="F9" s="45">
        <v>5520</v>
      </c>
      <c r="G9" s="164">
        <v>2.4469386669503698E-2</v>
      </c>
      <c r="H9" s="166">
        <v>6151</v>
      </c>
      <c r="I9" s="165">
        <f xml:space="preserve"> H9/H26</f>
        <v>2.8340528660747606E-2</v>
      </c>
      <c r="J9" s="3"/>
      <c r="K9" s="10">
        <v>135</v>
      </c>
      <c r="L9" s="165">
        <f>+K9/$F$26</f>
        <v>5.9843608702590562E-4</v>
      </c>
      <c r="M9" s="167">
        <v>140</v>
      </c>
      <c r="N9" s="165">
        <f xml:space="preserve"> M9/H26</f>
        <v>6.4504536051124457E-4</v>
      </c>
      <c r="O9" s="74"/>
    </row>
    <row r="10" spans="1:15" x14ac:dyDescent="0.25">
      <c r="A10" s="7"/>
      <c r="B10" s="936" t="s">
        <v>11</v>
      </c>
      <c r="C10" s="937"/>
      <c r="D10" s="937"/>
      <c r="E10" s="937"/>
      <c r="F10" s="937"/>
      <c r="G10" s="937"/>
      <c r="H10" s="937"/>
      <c r="I10" s="938"/>
      <c r="J10" s="12"/>
      <c r="K10" s="929" t="s">
        <v>11</v>
      </c>
      <c r="L10" s="930"/>
      <c r="M10" s="930"/>
      <c r="N10" s="931"/>
      <c r="O10" s="74"/>
    </row>
    <row r="11" spans="1:15" x14ac:dyDescent="0.25">
      <c r="A11" s="8" t="s">
        <v>3</v>
      </c>
      <c r="B11" s="47">
        <v>37601</v>
      </c>
      <c r="C11" s="165">
        <v>0.17086781272295157</v>
      </c>
      <c r="D11" s="47">
        <v>33232</v>
      </c>
      <c r="E11" s="165">
        <v>0.1471966549436142</v>
      </c>
      <c r="F11" s="47">
        <v>27015</v>
      </c>
      <c r="G11" s="165">
        <v>0.11975371030373956</v>
      </c>
      <c r="H11" s="46">
        <v>23603</v>
      </c>
      <c r="I11" s="165">
        <f xml:space="preserve"> H11/H26</f>
        <v>0.10875004031533503</v>
      </c>
      <c r="J11" s="3"/>
      <c r="K11" s="10">
        <v>423</v>
      </c>
      <c r="L11" s="165">
        <f>+K11/$F$26</f>
        <v>1.8750997393478376E-3</v>
      </c>
      <c r="M11" s="10">
        <v>387</v>
      </c>
      <c r="N11" s="165">
        <f xml:space="preserve"> M11/H26</f>
        <v>1.7830896751275117E-3</v>
      </c>
      <c r="O11" s="74"/>
    </row>
    <row r="12" spans="1:15" x14ac:dyDescent="0.25">
      <c r="A12" s="8" t="s">
        <v>4</v>
      </c>
      <c r="B12" s="47">
        <v>6957</v>
      </c>
      <c r="C12" s="165">
        <v>3.1614248905975216E-2</v>
      </c>
      <c r="D12" s="47">
        <v>2826</v>
      </c>
      <c r="E12" s="165">
        <v>1.2517385257301807E-2</v>
      </c>
      <c r="F12" s="4">
        <v>552</v>
      </c>
      <c r="G12" s="165">
        <v>2.4469386669503696E-3</v>
      </c>
      <c r="H12" s="10">
        <v>296</v>
      </c>
      <c r="I12" s="165">
        <f xml:space="preserve"> H12/H26</f>
        <v>1.3638101907952028E-3</v>
      </c>
      <c r="J12" s="3"/>
      <c r="K12" s="10">
        <v>43</v>
      </c>
      <c r="L12" s="165">
        <f>+K12/$F$26</f>
        <v>1.9061297586751068E-4</v>
      </c>
      <c r="M12" s="10">
        <v>40</v>
      </c>
      <c r="N12" s="165">
        <f xml:space="preserve"> M12/H26</f>
        <v>1.8429867443178416E-4</v>
      </c>
      <c r="O12" s="74"/>
    </row>
    <row r="13" spans="1:15" x14ac:dyDescent="0.25">
      <c r="A13" s="8" t="s">
        <v>5</v>
      </c>
      <c r="B13" s="47">
        <v>12386</v>
      </c>
      <c r="C13" s="165">
        <v>5.6284905411730493E-2</v>
      </c>
      <c r="D13" s="47">
        <v>15249</v>
      </c>
      <c r="E13" s="165">
        <v>6.7543385629368458E-2</v>
      </c>
      <c r="F13" s="47">
        <v>16267</v>
      </c>
      <c r="G13" s="165">
        <v>7.2109332056669681E-2</v>
      </c>
      <c r="H13" s="46">
        <v>15760</v>
      </c>
      <c r="I13" s="165">
        <f xml:space="preserve"> H13/H26</f>
        <v>7.2613677726122955E-2</v>
      </c>
      <c r="J13" s="3"/>
      <c r="K13" s="10">
        <v>402</v>
      </c>
      <c r="L13" s="165">
        <f>+K13/$F$26</f>
        <v>1.7820096813660302E-3</v>
      </c>
      <c r="M13" s="10">
        <v>280</v>
      </c>
      <c r="N13" s="165">
        <f xml:space="preserve"> M13/H26</f>
        <v>1.2900907210224891E-3</v>
      </c>
      <c r="O13" s="74"/>
    </row>
    <row r="14" spans="1:15" ht="15.75" thickBot="1" x14ac:dyDescent="0.3">
      <c r="A14" s="23" t="s">
        <v>6</v>
      </c>
      <c r="B14" s="24">
        <v>6240</v>
      </c>
      <c r="C14" s="168">
        <v>2.8356031791474105E-2</v>
      </c>
      <c r="D14" s="48">
        <v>5466</v>
      </c>
      <c r="E14" s="168">
        <v>2.4210908639919208E-2</v>
      </c>
      <c r="F14" s="48">
        <v>4858</v>
      </c>
      <c r="G14" s="168">
        <v>2.1534833413124812E-2</v>
      </c>
      <c r="H14" s="141">
        <v>4956</v>
      </c>
      <c r="I14" s="168">
        <f xml:space="preserve"> H14/H26</f>
        <v>2.2834605762098056E-2</v>
      </c>
      <c r="J14" s="3"/>
      <c r="K14" s="10">
        <v>568</v>
      </c>
      <c r="L14" s="165">
        <f>+K14/$F$26</f>
        <v>2.5178644254126993E-3</v>
      </c>
      <c r="M14" s="169">
        <v>620</v>
      </c>
      <c r="N14" s="168">
        <f xml:space="preserve"> M14/H26</f>
        <v>2.8566294536926545E-3</v>
      </c>
      <c r="O14" s="74"/>
    </row>
    <row r="15" spans="1:15" ht="15.75" thickBot="1" x14ac:dyDescent="0.3">
      <c r="A15" s="158" t="s">
        <v>100</v>
      </c>
      <c r="B15" s="170">
        <v>23988</v>
      </c>
      <c r="C15" s="162">
        <v>0.10900712990607064</v>
      </c>
      <c r="D15" s="170">
        <v>30774</v>
      </c>
      <c r="E15" s="162">
        <v>0.13630927597601056</v>
      </c>
      <c r="F15" s="170">
        <v>37944</v>
      </c>
      <c r="G15" s="162">
        <v>0.16820043619341454</v>
      </c>
      <c r="H15" s="161">
        <v>37381</v>
      </c>
      <c r="I15" s="162">
        <f xml:space="preserve"> H15/H26</f>
        <v>0.17223171872336307</v>
      </c>
      <c r="J15" s="2"/>
      <c r="K15" s="161">
        <v>3407</v>
      </c>
      <c r="L15" s="162">
        <f>+K15/$F$26</f>
        <v>1.51027536925723E-2</v>
      </c>
      <c r="M15" s="161">
        <v>4016</v>
      </c>
      <c r="N15" s="162">
        <f xml:space="preserve"> M15/H26</f>
        <v>1.850358691295113E-2</v>
      </c>
      <c r="O15" s="74"/>
    </row>
    <row r="16" spans="1:15" x14ac:dyDescent="0.25">
      <c r="A16" s="25"/>
      <c r="B16" s="942" t="s">
        <v>10</v>
      </c>
      <c r="C16" s="943"/>
      <c r="D16" s="943"/>
      <c r="E16" s="943"/>
      <c r="F16" s="943"/>
      <c r="G16" s="943"/>
      <c r="H16" s="943"/>
      <c r="I16" s="944"/>
      <c r="J16" s="12"/>
      <c r="K16" s="926" t="s">
        <v>10</v>
      </c>
      <c r="L16" s="927"/>
      <c r="M16" s="927"/>
      <c r="N16" s="928"/>
      <c r="O16" s="74"/>
    </row>
    <row r="17" spans="1:16" x14ac:dyDescent="0.25">
      <c r="A17" s="8" t="s">
        <v>3</v>
      </c>
      <c r="B17" s="47">
        <v>3334</v>
      </c>
      <c r="C17" s="165">
        <v>1.5150482370636965E-2</v>
      </c>
      <c r="D17" s="47">
        <v>4320</v>
      </c>
      <c r="E17" s="165">
        <v>1.9134856444283019E-2</v>
      </c>
      <c r="F17" s="47">
        <v>7716</v>
      </c>
      <c r="G17" s="165">
        <v>3.4203947018458428E-2</v>
      </c>
      <c r="H17" s="172">
        <v>7605</v>
      </c>
      <c r="I17" s="165">
        <f xml:space="preserve"> H17/H26</f>
        <v>3.5039785476342962E-2</v>
      </c>
      <c r="J17" s="3"/>
      <c r="K17" s="10">
        <v>167</v>
      </c>
      <c r="L17" s="165">
        <f>+K17/$F$26</f>
        <v>7.4028760395056475E-4</v>
      </c>
      <c r="M17" s="173">
        <v>192</v>
      </c>
      <c r="N17" s="165">
        <f xml:space="preserve"> M17/H26</f>
        <v>8.8463363727256394E-4</v>
      </c>
      <c r="O17" s="74"/>
    </row>
    <row r="18" spans="1:16" x14ac:dyDescent="0.25">
      <c r="A18" s="8" t="s">
        <v>4</v>
      </c>
      <c r="B18" s="4">
        <v>0</v>
      </c>
      <c r="C18" s="165">
        <v>0</v>
      </c>
      <c r="D18" s="4">
        <v>0</v>
      </c>
      <c r="E18" s="165">
        <v>0</v>
      </c>
      <c r="F18" s="4">
        <v>0</v>
      </c>
      <c r="G18" s="165">
        <v>0</v>
      </c>
      <c r="H18" s="136">
        <v>0</v>
      </c>
      <c r="I18" s="165">
        <f xml:space="preserve"> H18/H26</f>
        <v>0</v>
      </c>
      <c r="J18" s="3"/>
      <c r="K18" s="10">
        <v>0</v>
      </c>
      <c r="L18" s="165">
        <f>+K18/$F$26</f>
        <v>0</v>
      </c>
      <c r="M18" s="136">
        <v>0</v>
      </c>
      <c r="N18" s="165">
        <f xml:space="preserve"> M18/H26</f>
        <v>0</v>
      </c>
      <c r="O18" s="74"/>
    </row>
    <row r="19" spans="1:16" x14ac:dyDescent="0.25">
      <c r="A19" s="8" t="s">
        <v>5</v>
      </c>
      <c r="B19" s="4">
        <v>181</v>
      </c>
      <c r="C19" s="165">
        <v>8.2250669138730979E-4</v>
      </c>
      <c r="D19" s="4">
        <v>651</v>
      </c>
      <c r="E19" s="165">
        <v>2.8835165613954271E-3</v>
      </c>
      <c r="F19" s="47">
        <v>1299</v>
      </c>
      <c r="G19" s="165">
        <v>5.7582850151603809E-3</v>
      </c>
      <c r="H19" s="46">
        <v>1551</v>
      </c>
      <c r="I19" s="165">
        <f xml:space="preserve"> H19/H26</f>
        <v>7.1461811010924301E-3</v>
      </c>
      <c r="J19" s="3"/>
      <c r="K19" s="10">
        <v>5</v>
      </c>
      <c r="L19" s="165">
        <f>+K19/$F$26</f>
        <v>2.2164299519477986E-5</v>
      </c>
      <c r="M19" s="10">
        <v>7</v>
      </c>
      <c r="N19" s="165">
        <f xml:space="preserve"> M19/H26</f>
        <v>3.2252268025562223E-5</v>
      </c>
      <c r="O19" s="74"/>
    </row>
    <row r="20" spans="1:16" x14ac:dyDescent="0.25">
      <c r="A20" s="8" t="s">
        <v>6</v>
      </c>
      <c r="B20" s="4">
        <v>37</v>
      </c>
      <c r="C20" s="165">
        <v>1.6813672696867657E-4</v>
      </c>
      <c r="D20" s="4">
        <v>66</v>
      </c>
      <c r="E20" s="165">
        <v>2.9233808456543501E-4</v>
      </c>
      <c r="F20" s="4">
        <v>60</v>
      </c>
      <c r="G20" s="165">
        <v>2.6597159423373583E-4</v>
      </c>
      <c r="H20" s="174">
        <v>85</v>
      </c>
      <c r="I20" s="165">
        <f xml:space="preserve"> H20/H26</f>
        <v>3.9163468316754133E-4</v>
      </c>
      <c r="J20" s="3"/>
      <c r="K20" s="10">
        <v>16</v>
      </c>
      <c r="L20" s="165">
        <f>+K20/$F$26</f>
        <v>7.0925758462329552E-5</v>
      </c>
      <c r="M20" s="167">
        <v>24</v>
      </c>
      <c r="N20" s="165">
        <f xml:space="preserve"> M20/H26</f>
        <v>1.1057920465907049E-4</v>
      </c>
      <c r="O20" s="74"/>
    </row>
    <row r="21" spans="1:16" x14ac:dyDescent="0.25">
      <c r="A21" s="7"/>
      <c r="B21" s="936" t="s">
        <v>11</v>
      </c>
      <c r="C21" s="937"/>
      <c r="D21" s="937"/>
      <c r="E21" s="937"/>
      <c r="F21" s="937"/>
      <c r="G21" s="937"/>
      <c r="H21" s="937"/>
      <c r="I21" s="938"/>
      <c r="J21" s="12"/>
      <c r="K21" s="929" t="s">
        <v>11</v>
      </c>
      <c r="L21" s="930"/>
      <c r="M21" s="930"/>
      <c r="N21" s="931"/>
      <c r="O21" s="74"/>
    </row>
    <row r="22" spans="1:16" x14ac:dyDescent="0.25">
      <c r="A22" s="8" t="s">
        <v>3</v>
      </c>
      <c r="B22" s="47">
        <v>17938</v>
      </c>
      <c r="C22" s="165">
        <v>8.1514502928760016E-2</v>
      </c>
      <c r="D22" s="47">
        <v>22829</v>
      </c>
      <c r="E22" s="165">
        <v>0.1011179717052169</v>
      </c>
      <c r="F22" s="47">
        <v>23224</v>
      </c>
      <c r="G22" s="165">
        <v>0.10294873840807135</v>
      </c>
      <c r="H22" s="175">
        <v>21169</v>
      </c>
      <c r="I22" s="165">
        <f xml:space="preserve"> H22/H26</f>
        <v>9.7535465976160973E-2</v>
      </c>
      <c r="J22" s="3"/>
      <c r="K22" s="46">
        <v>2770</v>
      </c>
      <c r="L22" s="165">
        <f>+K22/$F$26</f>
        <v>1.2279021933790804E-2</v>
      </c>
      <c r="M22" s="176">
        <v>3163</v>
      </c>
      <c r="N22" s="165">
        <f xml:space="preserve"> M22/H26</f>
        <v>1.4573417680693332E-2</v>
      </c>
      <c r="O22" s="74"/>
    </row>
    <row r="23" spans="1:16" x14ac:dyDescent="0.25">
      <c r="A23" s="8" t="s">
        <v>4</v>
      </c>
      <c r="B23" s="4">
        <v>0</v>
      </c>
      <c r="C23" s="165">
        <v>0</v>
      </c>
      <c r="D23" s="4">
        <v>0</v>
      </c>
      <c r="E23" s="165">
        <v>0</v>
      </c>
      <c r="F23" s="4">
        <v>0</v>
      </c>
      <c r="G23" s="165">
        <v>0</v>
      </c>
      <c r="H23" s="136">
        <v>0</v>
      </c>
      <c r="I23" s="165">
        <f xml:space="preserve"> H23/H26</f>
        <v>0</v>
      </c>
      <c r="J23" s="3"/>
      <c r="K23" s="10">
        <v>0</v>
      </c>
      <c r="L23" s="165">
        <f>+K23/$F$26</f>
        <v>0</v>
      </c>
      <c r="M23" s="136">
        <v>0</v>
      </c>
      <c r="N23" s="165">
        <f xml:space="preserve"> M23/H26</f>
        <v>0</v>
      </c>
      <c r="O23" s="74"/>
    </row>
    <row r="24" spans="1:16" x14ac:dyDescent="0.25">
      <c r="A24" s="8" t="s">
        <v>5</v>
      </c>
      <c r="B24" s="47">
        <v>2313</v>
      </c>
      <c r="C24" s="165">
        <v>1.0510817553474296E-2</v>
      </c>
      <c r="D24" s="47">
        <v>2613</v>
      </c>
      <c r="E24" s="165">
        <v>1.1573930529840631E-2</v>
      </c>
      <c r="F24" s="47">
        <v>5368</v>
      </c>
      <c r="G24" s="165">
        <v>2.3795591964111566E-2</v>
      </c>
      <c r="H24" s="46">
        <v>6353</v>
      </c>
      <c r="I24" s="165">
        <f xml:space="preserve"> H24/H26</f>
        <v>2.9271236966628117E-2</v>
      </c>
      <c r="J24" s="3"/>
      <c r="K24" s="10">
        <v>378</v>
      </c>
      <c r="L24" s="165">
        <f>+K24/$F$26</f>
        <v>1.6756210436725358E-3</v>
      </c>
      <c r="M24" s="10">
        <v>488</v>
      </c>
      <c r="N24" s="165">
        <f xml:space="preserve"> M24/H26</f>
        <v>2.2484438280677664E-3</v>
      </c>
      <c r="O24" s="74"/>
    </row>
    <row r="25" spans="1:16" ht="15.75" thickBot="1" x14ac:dyDescent="0.3">
      <c r="A25" s="9" t="s">
        <v>6</v>
      </c>
      <c r="B25" s="5">
        <v>185</v>
      </c>
      <c r="C25" s="177">
        <v>8.4068363484338289E-4</v>
      </c>
      <c r="D25" s="5">
        <v>295</v>
      </c>
      <c r="E25" s="177">
        <v>1.3066626507091414E-3</v>
      </c>
      <c r="F25" s="5">
        <v>277</v>
      </c>
      <c r="G25" s="177">
        <v>1.2279021933790804E-3</v>
      </c>
      <c r="H25" s="167">
        <v>618</v>
      </c>
      <c r="I25" s="168">
        <f xml:space="preserve"> H25/H26</f>
        <v>2.8474145199710653E-3</v>
      </c>
      <c r="J25" s="3"/>
      <c r="K25" s="49">
        <v>71</v>
      </c>
      <c r="L25" s="168">
        <f>+K25/$F$26</f>
        <v>3.1473305317658741E-4</v>
      </c>
      <c r="M25" s="169">
        <v>142</v>
      </c>
      <c r="N25" s="168">
        <f xml:space="preserve"> M25/H26</f>
        <v>6.5426029423283378E-4</v>
      </c>
      <c r="O25" s="74"/>
    </row>
    <row r="26" spans="1:16" ht="15.75" thickBot="1" x14ac:dyDescent="0.3">
      <c r="A26" s="178" t="s">
        <v>8</v>
      </c>
      <c r="B26" s="179">
        <v>220059</v>
      </c>
      <c r="C26" s="180">
        <v>1</v>
      </c>
      <c r="D26" s="179">
        <v>225766</v>
      </c>
      <c r="E26" s="180">
        <v>1</v>
      </c>
      <c r="F26" s="179">
        <v>225588</v>
      </c>
      <c r="G26" s="180">
        <v>1</v>
      </c>
      <c r="H26" s="161">
        <f xml:space="preserve"> H4+H15</f>
        <v>217039</v>
      </c>
      <c r="I26" s="162">
        <f xml:space="preserve"> I4+I15</f>
        <v>1.0000317187233629</v>
      </c>
      <c r="J26" s="2"/>
      <c r="K26" s="161">
        <v>8137</v>
      </c>
      <c r="L26" s="162">
        <f>+K26/$F$26</f>
        <v>3.6070181037998472E-2</v>
      </c>
      <c r="M26" s="161">
        <f xml:space="preserve"> M4+M15</f>
        <v>8874</v>
      </c>
      <c r="N26" s="162">
        <f xml:space="preserve"> M26/H26</f>
        <v>4.0886660922691311E-2</v>
      </c>
      <c r="O26" s="74"/>
      <c r="P26" s="74"/>
    </row>
    <row r="28" spans="1:16" x14ac:dyDescent="0.25">
      <c r="A28" s="27" t="s">
        <v>4</v>
      </c>
      <c r="B28" s="26" t="s">
        <v>9</v>
      </c>
      <c r="C28" s="26"/>
      <c r="D28" s="26"/>
      <c r="E28" s="26"/>
      <c r="F28" s="26"/>
      <c r="G28" s="122"/>
      <c r="H28" s="122"/>
      <c r="I28" s="26"/>
      <c r="J28" s="28"/>
      <c r="K28" s="26"/>
      <c r="L28" s="26"/>
      <c r="M28" s="26"/>
      <c r="N28" s="29" t="s">
        <v>28</v>
      </c>
    </row>
    <row r="29" spans="1:16" x14ac:dyDescent="0.25">
      <c r="G29" s="74"/>
      <c r="H29" s="74"/>
    </row>
    <row r="30" spans="1:16" x14ac:dyDescent="0.25">
      <c r="G30" s="74"/>
    </row>
  </sheetData>
  <mergeCells count="16">
    <mergeCell ref="B16:I16"/>
    <mergeCell ref="B21:I21"/>
    <mergeCell ref="K3:L3"/>
    <mergeCell ref="M3:N3"/>
    <mergeCell ref="K16:N16"/>
    <mergeCell ref="K21:N21"/>
    <mergeCell ref="A1:N1"/>
    <mergeCell ref="K2:N2"/>
    <mergeCell ref="K5:N5"/>
    <mergeCell ref="K10:N10"/>
    <mergeCell ref="B5:I5"/>
    <mergeCell ref="B10:I10"/>
    <mergeCell ref="H3:I3"/>
    <mergeCell ref="F3:G3"/>
    <mergeCell ref="D3:E3"/>
    <mergeCell ref="B3:C3"/>
  </mergeCells>
  <phoneticPr fontId="4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zoomScaleNormal="100" workbookViewId="0">
      <selection sqref="A1:L30"/>
    </sheetView>
  </sheetViews>
  <sheetFormatPr defaultRowHeight="15.75" x14ac:dyDescent="0.25"/>
  <cols>
    <col min="1" max="1" width="17" style="412" customWidth="1"/>
    <col min="2" max="2" width="14" style="111" customWidth="1"/>
    <col min="3" max="3" width="13.85546875" style="111" customWidth="1"/>
    <col min="4" max="4" width="13.28515625" style="111" customWidth="1"/>
    <col min="5" max="5" width="12" style="112" bestFit="1" customWidth="1"/>
    <col min="6" max="6" width="12" style="113" bestFit="1" customWidth="1"/>
    <col min="7" max="7" width="13.140625" style="113" customWidth="1"/>
    <col min="8" max="8" width="13.7109375" style="113" customWidth="1"/>
    <col min="9" max="9" width="13.5703125" style="113" customWidth="1"/>
    <col min="10" max="10" width="13.28515625" style="113" customWidth="1"/>
    <col min="11" max="11" width="16.140625" style="113" customWidth="1"/>
    <col min="12" max="12" width="14.7109375" style="113" bestFit="1" customWidth="1"/>
    <col min="13" max="16384" width="9.140625" style="113"/>
  </cols>
  <sheetData>
    <row r="1" spans="1:12" ht="51.75" customHeight="1" thickBot="1" x14ac:dyDescent="0.3">
      <c r="A1" s="1040" t="s">
        <v>605</v>
      </c>
      <c r="B1" s="1040"/>
      <c r="C1" s="1040"/>
      <c r="D1" s="1040"/>
      <c r="E1" s="1040"/>
      <c r="F1" s="1040"/>
      <c r="G1" s="1040"/>
      <c r="H1" s="1040"/>
      <c r="I1" s="1040"/>
      <c r="J1" s="1040"/>
      <c r="K1" s="1040"/>
      <c r="L1" s="1040"/>
    </row>
    <row r="2" spans="1:12" ht="51.75" customHeight="1" thickBot="1" x14ac:dyDescent="0.3">
      <c r="A2" s="802"/>
      <c r="B2" s="802"/>
      <c r="C2" s="802"/>
      <c r="D2" s="802"/>
      <c r="E2" s="802"/>
      <c r="F2" s="802"/>
      <c r="G2" s="802"/>
      <c r="H2" s="802"/>
      <c r="I2" s="802"/>
      <c r="J2" s="1087" t="s">
        <v>486</v>
      </c>
      <c r="K2" s="1088"/>
      <c r="L2" s="1089"/>
    </row>
    <row r="3" spans="1:12" s="428" customFormat="1" ht="93" customHeight="1" thickBot="1" x14ac:dyDescent="0.3">
      <c r="A3" s="708" t="s">
        <v>56</v>
      </c>
      <c r="B3" s="709" t="s">
        <v>487</v>
      </c>
      <c r="C3" s="709" t="s">
        <v>488</v>
      </c>
      <c r="D3" s="709" t="s">
        <v>489</v>
      </c>
      <c r="E3" s="709" t="s">
        <v>490</v>
      </c>
      <c r="F3" s="709" t="s">
        <v>491</v>
      </c>
      <c r="G3" s="709" t="s">
        <v>492</v>
      </c>
      <c r="H3" s="709" t="s">
        <v>493</v>
      </c>
      <c r="I3" s="710" t="s">
        <v>494</v>
      </c>
      <c r="J3" s="711" t="s">
        <v>495</v>
      </c>
      <c r="K3" s="712" t="s">
        <v>496</v>
      </c>
      <c r="L3" s="713" t="s">
        <v>497</v>
      </c>
    </row>
    <row r="4" spans="1:12" x14ac:dyDescent="0.25">
      <c r="A4" s="724" t="s">
        <v>29</v>
      </c>
      <c r="B4" s="717">
        <v>125422582.08</v>
      </c>
      <c r="C4" s="714">
        <f>124086083.92+294.67</f>
        <v>124086378.59</v>
      </c>
      <c r="D4" s="714">
        <f>B4-C4</f>
        <v>1336203.4899999946</v>
      </c>
      <c r="E4" s="714">
        <v>3529197.45</v>
      </c>
      <c r="F4" s="714">
        <f>2559292.79+117829.31</f>
        <v>2677122.1</v>
      </c>
      <c r="G4" s="714">
        <f>E4-F4</f>
        <v>852075.35000000009</v>
      </c>
      <c r="H4" s="714">
        <f>B4+E4</f>
        <v>128951779.53</v>
      </c>
      <c r="I4" s="715">
        <f>C4+F4</f>
        <v>126763500.69</v>
      </c>
      <c r="J4" s="716">
        <f>D4+G4</f>
        <v>2188278.8399999947</v>
      </c>
      <c r="K4" s="717">
        <v>2091724.45</v>
      </c>
      <c r="L4" s="718">
        <f>J4+K4</f>
        <v>4280003.2899999944</v>
      </c>
    </row>
    <row r="5" spans="1:12" x14ac:dyDescent="0.25">
      <c r="A5" s="725" t="s">
        <v>39</v>
      </c>
      <c r="B5" s="717">
        <v>34978992.350000001</v>
      </c>
      <c r="C5" s="714">
        <f>34621338.21+141633.81</f>
        <v>34762972.020000003</v>
      </c>
      <c r="D5" s="714">
        <f t="shared" ref="D5:D23" si="0">B5-C5</f>
        <v>216020.32999999821</v>
      </c>
      <c r="E5" s="714">
        <v>1331681.81</v>
      </c>
      <c r="F5" s="714">
        <f>1141533.35+40719.92</f>
        <v>1182253.27</v>
      </c>
      <c r="G5" s="714">
        <f t="shared" ref="G5:G23" si="1">E5-F5</f>
        <v>149428.54000000004</v>
      </c>
      <c r="H5" s="714">
        <f t="shared" ref="H5:J23" si="2">B5+E5</f>
        <v>36310674.160000004</v>
      </c>
      <c r="I5" s="715">
        <f t="shared" si="2"/>
        <v>35945225.290000007</v>
      </c>
      <c r="J5" s="716">
        <f t="shared" si="2"/>
        <v>365448.86999999825</v>
      </c>
      <c r="K5" s="717">
        <v>0</v>
      </c>
      <c r="L5" s="718">
        <f t="shared" ref="L5:L23" si="3">J5+K5</f>
        <v>365448.86999999825</v>
      </c>
    </row>
    <row r="6" spans="1:12" x14ac:dyDescent="0.25">
      <c r="A6" s="725" t="s">
        <v>37</v>
      </c>
      <c r="B6" s="717">
        <v>27724843.59</v>
      </c>
      <c r="C6" s="714">
        <f>27532291.44+191474.64</f>
        <v>27723766.080000002</v>
      </c>
      <c r="D6" s="714">
        <f t="shared" si="0"/>
        <v>1077.5099999979138</v>
      </c>
      <c r="E6" s="714">
        <v>449292.1</v>
      </c>
      <c r="F6" s="714">
        <f>448904.04+78.56</f>
        <v>448982.6</v>
      </c>
      <c r="G6" s="714">
        <f t="shared" si="1"/>
        <v>309.5</v>
      </c>
      <c r="H6" s="714">
        <f t="shared" si="2"/>
        <v>28174135.690000001</v>
      </c>
      <c r="I6" s="715">
        <f t="shared" si="2"/>
        <v>28172748.680000003</v>
      </c>
      <c r="J6" s="716">
        <f t="shared" si="2"/>
        <v>1387.0099999979138</v>
      </c>
      <c r="K6" s="717">
        <v>0</v>
      </c>
      <c r="L6" s="718">
        <f t="shared" si="3"/>
        <v>1387.0099999979138</v>
      </c>
    </row>
    <row r="7" spans="1:12" x14ac:dyDescent="0.25">
      <c r="A7" s="725" t="s">
        <v>42</v>
      </c>
      <c r="B7" s="717">
        <v>9629460.4199999999</v>
      </c>
      <c r="C7" s="714">
        <f>9625357.45+2.89</f>
        <v>9625360.3399999999</v>
      </c>
      <c r="D7" s="714">
        <f t="shared" si="0"/>
        <v>4100.0800000000745</v>
      </c>
      <c r="E7" s="714">
        <v>60762.97</v>
      </c>
      <c r="F7" s="714">
        <f>32102.92+4354.43</f>
        <v>36457.35</v>
      </c>
      <c r="G7" s="714">
        <f t="shared" si="1"/>
        <v>24305.620000000003</v>
      </c>
      <c r="H7" s="714">
        <f t="shared" si="2"/>
        <v>9690223.3900000006</v>
      </c>
      <c r="I7" s="715">
        <f t="shared" si="2"/>
        <v>9661817.6899999995</v>
      </c>
      <c r="J7" s="716">
        <f t="shared" si="2"/>
        <v>28405.700000000077</v>
      </c>
      <c r="K7" s="717">
        <v>1191256.05</v>
      </c>
      <c r="L7" s="718">
        <f t="shared" si="3"/>
        <v>1219661.7500000002</v>
      </c>
    </row>
    <row r="8" spans="1:12" x14ac:dyDescent="0.25">
      <c r="A8" s="725" t="s">
        <v>181</v>
      </c>
      <c r="B8" s="717">
        <v>12752623.710000001</v>
      </c>
      <c r="C8" s="714">
        <v>12961327.73</v>
      </c>
      <c r="D8" s="714">
        <f t="shared" si="0"/>
        <v>-208704.01999999955</v>
      </c>
      <c r="E8" s="714">
        <v>432780.49</v>
      </c>
      <c r="F8" s="714">
        <v>365444.95</v>
      </c>
      <c r="G8" s="714">
        <f t="shared" si="1"/>
        <v>67335.539999999979</v>
      </c>
      <c r="H8" s="714">
        <f t="shared" si="2"/>
        <v>13185404.200000001</v>
      </c>
      <c r="I8" s="715">
        <f t="shared" si="2"/>
        <v>13326772.68</v>
      </c>
      <c r="J8" s="716">
        <f t="shared" si="2"/>
        <v>-141368.47999999957</v>
      </c>
      <c r="K8" s="717">
        <v>-1438173.31</v>
      </c>
      <c r="L8" s="718">
        <f t="shared" si="3"/>
        <v>-1579541.7899999996</v>
      </c>
    </row>
    <row r="9" spans="1:12" x14ac:dyDescent="0.25">
      <c r="A9" s="725" t="s">
        <v>35</v>
      </c>
      <c r="B9" s="717">
        <v>26752231.690000001</v>
      </c>
      <c r="C9" s="714">
        <f>26331111.2+4112.39</f>
        <v>26335223.59</v>
      </c>
      <c r="D9" s="714">
        <f t="shared" si="0"/>
        <v>417008.10000000149</v>
      </c>
      <c r="E9" s="714">
        <v>349080.98</v>
      </c>
      <c r="F9" s="714">
        <f>345595.16+503.91</f>
        <v>346099.06999999995</v>
      </c>
      <c r="G9" s="714">
        <f t="shared" si="1"/>
        <v>2981.9100000000326</v>
      </c>
      <c r="H9" s="714">
        <f t="shared" si="2"/>
        <v>27101312.670000002</v>
      </c>
      <c r="I9" s="715">
        <f t="shared" si="2"/>
        <v>26681322.66</v>
      </c>
      <c r="J9" s="716">
        <f t="shared" si="2"/>
        <v>419990.01000000152</v>
      </c>
      <c r="K9" s="717">
        <v>0</v>
      </c>
      <c r="L9" s="718">
        <f t="shared" si="3"/>
        <v>419990.01000000152</v>
      </c>
    </row>
    <row r="10" spans="1:12" x14ac:dyDescent="0.25">
      <c r="A10" s="725" t="s">
        <v>34</v>
      </c>
      <c r="B10" s="717">
        <v>27899601.859999999</v>
      </c>
      <c r="C10" s="714">
        <f>27194113.2+86.41</f>
        <v>27194199.609999999</v>
      </c>
      <c r="D10" s="714">
        <f t="shared" si="0"/>
        <v>705402.25</v>
      </c>
      <c r="E10" s="714">
        <v>617250.77</v>
      </c>
      <c r="F10" s="714">
        <f>428229.42+36154.86</f>
        <v>464384.27999999997</v>
      </c>
      <c r="G10" s="714">
        <f t="shared" si="1"/>
        <v>152866.49000000005</v>
      </c>
      <c r="H10" s="714">
        <f t="shared" si="2"/>
        <v>28516852.629999999</v>
      </c>
      <c r="I10" s="715">
        <f t="shared" si="2"/>
        <v>27658583.890000001</v>
      </c>
      <c r="J10" s="716">
        <f t="shared" si="2"/>
        <v>858268.74</v>
      </c>
      <c r="K10" s="717">
        <v>-1675947.16</v>
      </c>
      <c r="L10" s="718">
        <f t="shared" si="3"/>
        <v>-817678.41999999993</v>
      </c>
    </row>
    <row r="11" spans="1:12" x14ac:dyDescent="0.25">
      <c r="A11" s="725" t="s">
        <v>40</v>
      </c>
      <c r="B11" s="717">
        <v>15812391.539999999</v>
      </c>
      <c r="C11" s="714">
        <f>15255128.43+2.3</f>
        <v>15255130.73</v>
      </c>
      <c r="D11" s="714">
        <f t="shared" si="0"/>
        <v>557260.80999999866</v>
      </c>
      <c r="E11" s="714">
        <v>229921.05</v>
      </c>
      <c r="F11" s="714">
        <f>158483.11+12582.24</f>
        <v>171065.34999999998</v>
      </c>
      <c r="G11" s="714">
        <f t="shared" si="1"/>
        <v>58855.700000000012</v>
      </c>
      <c r="H11" s="714">
        <f t="shared" si="2"/>
        <v>16042312.59</v>
      </c>
      <c r="I11" s="715">
        <f t="shared" si="2"/>
        <v>15426196.08</v>
      </c>
      <c r="J11" s="716">
        <f t="shared" si="2"/>
        <v>616116.50999999861</v>
      </c>
      <c r="K11" s="717">
        <v>1234474.53</v>
      </c>
      <c r="L11" s="718">
        <f t="shared" si="3"/>
        <v>1850591.0399999986</v>
      </c>
    </row>
    <row r="12" spans="1:12" x14ac:dyDescent="0.25">
      <c r="A12" s="725" t="s">
        <v>30</v>
      </c>
      <c r="B12" s="717">
        <v>82378918.510000005</v>
      </c>
      <c r="C12" s="714">
        <f>82726183.89-152354.05</f>
        <v>82573829.840000004</v>
      </c>
      <c r="D12" s="714">
        <f t="shared" si="0"/>
        <v>-194911.32999999821</v>
      </c>
      <c r="E12" s="714">
        <v>6741829.9400000004</v>
      </c>
      <c r="F12" s="714">
        <f>5653436.08+118344.28</f>
        <v>5771780.3600000003</v>
      </c>
      <c r="G12" s="714">
        <f t="shared" si="1"/>
        <v>970049.58000000007</v>
      </c>
      <c r="H12" s="714">
        <f t="shared" si="2"/>
        <v>89120748.450000003</v>
      </c>
      <c r="I12" s="715">
        <f t="shared" si="2"/>
        <v>88345610.200000003</v>
      </c>
      <c r="J12" s="716">
        <f t="shared" si="2"/>
        <v>775138.25000000186</v>
      </c>
      <c r="K12" s="717">
        <v>0</v>
      </c>
      <c r="L12" s="718">
        <f t="shared" si="3"/>
        <v>775138.25000000186</v>
      </c>
    </row>
    <row r="13" spans="1:12" x14ac:dyDescent="0.25">
      <c r="A13" s="725" t="s">
        <v>31</v>
      </c>
      <c r="B13" s="717">
        <v>58823986.770000003</v>
      </c>
      <c r="C13" s="714">
        <f>57737343.42+648.82</f>
        <v>57737992.240000002</v>
      </c>
      <c r="D13" s="714">
        <f t="shared" si="0"/>
        <v>1085994.5300000012</v>
      </c>
      <c r="E13" s="714">
        <v>3727606.4</v>
      </c>
      <c r="F13" s="714">
        <f>3128260.67+135354.73</f>
        <v>3263615.4</v>
      </c>
      <c r="G13" s="714">
        <f t="shared" si="1"/>
        <v>463991</v>
      </c>
      <c r="H13" s="714">
        <f t="shared" si="2"/>
        <v>62551593.170000002</v>
      </c>
      <c r="I13" s="715">
        <f t="shared" si="2"/>
        <v>61001607.640000001</v>
      </c>
      <c r="J13" s="716">
        <f t="shared" si="2"/>
        <v>1549985.5300000012</v>
      </c>
      <c r="K13" s="717">
        <v>-2155937.6800000002</v>
      </c>
      <c r="L13" s="718">
        <f>J13+K13</f>
        <v>-605952.14999999898</v>
      </c>
    </row>
    <row r="14" spans="1:12" x14ac:dyDescent="0.25">
      <c r="A14" s="725" t="s">
        <v>58</v>
      </c>
      <c r="B14" s="717">
        <v>43276502.829999998</v>
      </c>
      <c r="C14" s="714">
        <f>40695537.44+154.16</f>
        <v>40695691.599999994</v>
      </c>
      <c r="D14" s="714">
        <f t="shared" si="0"/>
        <v>2580811.2300000042</v>
      </c>
      <c r="E14" s="714">
        <v>4733201.82</v>
      </c>
      <c r="F14" s="714">
        <f>4352460.02+262.56</f>
        <v>4352722.5799999991</v>
      </c>
      <c r="G14" s="714">
        <f t="shared" si="1"/>
        <v>380479.24000000115</v>
      </c>
      <c r="H14" s="714">
        <f t="shared" si="2"/>
        <v>48009704.649999999</v>
      </c>
      <c r="I14" s="715">
        <f t="shared" si="2"/>
        <v>45048414.179999992</v>
      </c>
      <c r="J14" s="716">
        <f t="shared" si="2"/>
        <v>2961290.4700000053</v>
      </c>
      <c r="K14" s="717">
        <v>5176259.91</v>
      </c>
      <c r="L14" s="718">
        <f t="shared" si="3"/>
        <v>8137550.3800000055</v>
      </c>
    </row>
    <row r="15" spans="1:12" x14ac:dyDescent="0.25">
      <c r="A15" s="725" t="s">
        <v>593</v>
      </c>
      <c r="B15" s="717">
        <v>11115170.779999999</v>
      </c>
      <c r="C15" s="714">
        <f>11107774.82+47.19</f>
        <v>11107822.01</v>
      </c>
      <c r="D15" s="714">
        <f t="shared" si="0"/>
        <v>7348.769999999553</v>
      </c>
      <c r="E15" s="714">
        <v>123786.08</v>
      </c>
      <c r="F15" s="714">
        <f>120828.61+981.55</f>
        <v>121810.16</v>
      </c>
      <c r="G15" s="714">
        <f t="shared" si="1"/>
        <v>1975.9199999999983</v>
      </c>
      <c r="H15" s="714">
        <f t="shared" si="2"/>
        <v>11238956.859999999</v>
      </c>
      <c r="I15" s="715">
        <f t="shared" si="2"/>
        <v>11229632.17</v>
      </c>
      <c r="J15" s="716">
        <f t="shared" si="2"/>
        <v>9324.6899999995512</v>
      </c>
      <c r="K15" s="717">
        <v>-2561098.9700000002</v>
      </c>
      <c r="L15" s="718">
        <f t="shared" si="3"/>
        <v>-2551774.2800000007</v>
      </c>
    </row>
    <row r="16" spans="1:12" x14ac:dyDescent="0.25">
      <c r="A16" s="725" t="s">
        <v>33</v>
      </c>
      <c r="B16" s="717">
        <v>28400652.859999999</v>
      </c>
      <c r="C16" s="714">
        <f>28334004.57+23257.95</f>
        <v>28357262.52</v>
      </c>
      <c r="D16" s="714">
        <f t="shared" si="0"/>
        <v>43390.339999999851</v>
      </c>
      <c r="E16" s="714">
        <v>1012949.08</v>
      </c>
      <c r="F16" s="714">
        <f>1011179.59+0</f>
        <v>1011179.59</v>
      </c>
      <c r="G16" s="714">
        <f t="shared" si="1"/>
        <v>1769.4899999999907</v>
      </c>
      <c r="H16" s="714">
        <f t="shared" si="2"/>
        <v>29413601.939999998</v>
      </c>
      <c r="I16" s="715">
        <f t="shared" si="2"/>
        <v>29368442.109999999</v>
      </c>
      <c r="J16" s="716">
        <f t="shared" si="2"/>
        <v>45159.829999999842</v>
      </c>
      <c r="K16" s="717">
        <v>-1727929.97</v>
      </c>
      <c r="L16" s="718">
        <f t="shared" si="3"/>
        <v>-1682770.1400000001</v>
      </c>
    </row>
    <row r="17" spans="1:12" x14ac:dyDescent="0.25">
      <c r="A17" s="725" t="s">
        <v>38</v>
      </c>
      <c r="B17" s="717">
        <v>27835878.199999999</v>
      </c>
      <c r="C17" s="714">
        <f>28859635.58+3654.57</f>
        <v>28863290.149999999</v>
      </c>
      <c r="D17" s="714">
        <f t="shared" si="0"/>
        <v>-1027411.9499999993</v>
      </c>
      <c r="E17" s="714">
        <v>423058.28</v>
      </c>
      <c r="F17" s="714">
        <f>334752.09+18762.78</f>
        <v>353514.87</v>
      </c>
      <c r="G17" s="714">
        <f t="shared" si="1"/>
        <v>69543.410000000033</v>
      </c>
      <c r="H17" s="714">
        <f t="shared" si="2"/>
        <v>28258936.48</v>
      </c>
      <c r="I17" s="715">
        <f t="shared" si="2"/>
        <v>29216805.02</v>
      </c>
      <c r="J17" s="716">
        <f t="shared" si="2"/>
        <v>-957868.53999999922</v>
      </c>
      <c r="K17" s="717">
        <v>0</v>
      </c>
      <c r="L17" s="718">
        <f t="shared" si="3"/>
        <v>-957868.53999999922</v>
      </c>
    </row>
    <row r="18" spans="1:12" x14ac:dyDescent="0.25">
      <c r="A18" s="725" t="s">
        <v>44</v>
      </c>
      <c r="B18" s="717">
        <v>16603342.029999999</v>
      </c>
      <c r="C18" s="714">
        <f>16640132.45+17733.57</f>
        <v>16657866.02</v>
      </c>
      <c r="D18" s="714">
        <f t="shared" si="0"/>
        <v>-54523.990000000224</v>
      </c>
      <c r="E18" s="714">
        <v>2659397.17</v>
      </c>
      <c r="F18" s="714">
        <f>2418418.38+46882.71</f>
        <v>2465301.09</v>
      </c>
      <c r="G18" s="714">
        <f t="shared" si="1"/>
        <v>194096.08000000007</v>
      </c>
      <c r="H18" s="714">
        <f t="shared" si="2"/>
        <v>19262739.199999999</v>
      </c>
      <c r="I18" s="715">
        <f t="shared" si="2"/>
        <v>19123167.109999999</v>
      </c>
      <c r="J18" s="716">
        <f t="shared" si="2"/>
        <v>139572.08999999985</v>
      </c>
      <c r="K18" s="717">
        <v>150881.85999999999</v>
      </c>
      <c r="L18" s="718">
        <f t="shared" si="3"/>
        <v>290453.94999999984</v>
      </c>
    </row>
    <row r="19" spans="1:12" x14ac:dyDescent="0.25">
      <c r="A19" s="725" t="s">
        <v>49</v>
      </c>
      <c r="B19" s="717">
        <v>6591646.2000000002</v>
      </c>
      <c r="C19" s="714">
        <f>6272962.79+706.44</f>
        <v>6273669.2300000004</v>
      </c>
      <c r="D19" s="714">
        <f t="shared" si="0"/>
        <v>317976.96999999974</v>
      </c>
      <c r="E19" s="714">
        <v>161068.19</v>
      </c>
      <c r="F19" s="714">
        <f>105195.24+10615.86</f>
        <v>115811.1</v>
      </c>
      <c r="G19" s="714">
        <f t="shared" si="1"/>
        <v>45257.09</v>
      </c>
      <c r="H19" s="714">
        <f t="shared" si="2"/>
        <v>6752714.3900000006</v>
      </c>
      <c r="I19" s="715">
        <f t="shared" si="2"/>
        <v>6389480.3300000001</v>
      </c>
      <c r="J19" s="716">
        <f t="shared" si="2"/>
        <v>363234.05999999971</v>
      </c>
      <c r="K19" s="717">
        <v>0</v>
      </c>
      <c r="L19" s="718">
        <f t="shared" si="3"/>
        <v>363234.05999999971</v>
      </c>
    </row>
    <row r="20" spans="1:12" x14ac:dyDescent="0.25">
      <c r="A20" s="725" t="s">
        <v>52</v>
      </c>
      <c r="B20" s="717">
        <v>4844981.3099999996</v>
      </c>
      <c r="C20" s="714">
        <f>4736138.47+11.14</f>
        <v>4736149.6099999994</v>
      </c>
      <c r="D20" s="714">
        <f t="shared" si="0"/>
        <v>108831.70000000019</v>
      </c>
      <c r="E20" s="714">
        <v>107971.95</v>
      </c>
      <c r="F20" s="714">
        <f>38566.22+9989.13</f>
        <v>48555.35</v>
      </c>
      <c r="G20" s="714">
        <f t="shared" si="1"/>
        <v>59416.6</v>
      </c>
      <c r="H20" s="714">
        <f t="shared" si="2"/>
        <v>4952953.26</v>
      </c>
      <c r="I20" s="715">
        <f t="shared" si="2"/>
        <v>4784704.959999999</v>
      </c>
      <c r="J20" s="716">
        <f t="shared" si="2"/>
        <v>168248.30000000019</v>
      </c>
      <c r="K20" s="717">
        <v>-27123.54</v>
      </c>
      <c r="L20" s="718">
        <f t="shared" si="3"/>
        <v>141124.76000000018</v>
      </c>
    </row>
    <row r="21" spans="1:12" x14ac:dyDescent="0.25">
      <c r="A21" s="725" t="s">
        <v>53</v>
      </c>
      <c r="B21" s="717">
        <v>3852540.51</v>
      </c>
      <c r="C21" s="714">
        <f>3747706.48+1.93</f>
        <v>3747708.41</v>
      </c>
      <c r="D21" s="714">
        <f t="shared" si="0"/>
        <v>104832.09999999963</v>
      </c>
      <c r="E21" s="714">
        <v>72756.649999999994</v>
      </c>
      <c r="F21" s="714">
        <f>46072.33+5129.35</f>
        <v>51201.68</v>
      </c>
      <c r="G21" s="714">
        <f t="shared" si="1"/>
        <v>21554.969999999994</v>
      </c>
      <c r="H21" s="714">
        <f t="shared" si="2"/>
        <v>3925297.1599999997</v>
      </c>
      <c r="I21" s="715">
        <f t="shared" si="2"/>
        <v>3798910.0900000003</v>
      </c>
      <c r="J21" s="716">
        <f t="shared" si="2"/>
        <v>126387.06999999963</v>
      </c>
      <c r="K21" s="717">
        <v>-916671.28</v>
      </c>
      <c r="L21" s="718">
        <f t="shared" si="3"/>
        <v>-790284.21000000043</v>
      </c>
    </row>
    <row r="22" spans="1:12" x14ac:dyDescent="0.25">
      <c r="A22" s="725" t="s">
        <v>41</v>
      </c>
      <c r="B22" s="717">
        <v>17039663.66</v>
      </c>
      <c r="C22" s="714">
        <v>15758906.34</v>
      </c>
      <c r="D22" s="714">
        <f t="shared" si="0"/>
        <v>1280757.3200000003</v>
      </c>
      <c r="E22" s="714">
        <v>86362.43</v>
      </c>
      <c r="F22" s="714">
        <f>88904.38+6635.51</f>
        <v>95539.89</v>
      </c>
      <c r="G22" s="714">
        <f t="shared" si="1"/>
        <v>-9177.4600000000064</v>
      </c>
      <c r="H22" s="714">
        <f t="shared" si="2"/>
        <v>17126026.09</v>
      </c>
      <c r="I22" s="715">
        <f t="shared" si="2"/>
        <v>15854446.23</v>
      </c>
      <c r="J22" s="716">
        <f t="shared" si="2"/>
        <v>1271579.8600000003</v>
      </c>
      <c r="K22" s="717">
        <v>1335172.6200000001</v>
      </c>
      <c r="L22" s="718">
        <f t="shared" si="3"/>
        <v>2606752.4800000004</v>
      </c>
    </row>
    <row r="23" spans="1:12" ht="16.5" thickBot="1" x14ac:dyDescent="0.3">
      <c r="A23" s="726" t="s">
        <v>48</v>
      </c>
      <c r="B23" s="717">
        <v>6267135.21</v>
      </c>
      <c r="C23" s="714">
        <f>5967164.31</f>
        <v>5967164.3099999996</v>
      </c>
      <c r="D23" s="714">
        <f t="shared" si="0"/>
        <v>299970.90000000037</v>
      </c>
      <c r="E23" s="714">
        <v>36787.440000000002</v>
      </c>
      <c r="F23" s="714">
        <f>22762.59+2664.72</f>
        <v>25427.31</v>
      </c>
      <c r="G23" s="714">
        <f t="shared" si="1"/>
        <v>11360.130000000001</v>
      </c>
      <c r="H23" s="714">
        <f t="shared" si="2"/>
        <v>6303922.6500000004</v>
      </c>
      <c r="I23" s="715">
        <f t="shared" si="2"/>
        <v>5992591.6199999992</v>
      </c>
      <c r="J23" s="716">
        <f t="shared" si="2"/>
        <v>311331.03000000038</v>
      </c>
      <c r="K23" s="717">
        <v>283639.48</v>
      </c>
      <c r="L23" s="718">
        <f t="shared" si="3"/>
        <v>594970.51000000036</v>
      </c>
    </row>
    <row r="24" spans="1:12" s="429" customFormat="1" ht="16.5" thickBot="1" x14ac:dyDescent="0.3">
      <c r="A24" s="719" t="s">
        <v>21</v>
      </c>
      <c r="B24" s="720">
        <f t="shared" ref="B24:J24" si="4">SUM(B4:B23)</f>
        <v>588003146.1099999</v>
      </c>
      <c r="C24" s="720">
        <f t="shared" si="4"/>
        <v>580421710.97000003</v>
      </c>
      <c r="D24" s="720">
        <f t="shared" si="4"/>
        <v>7581435.1399999987</v>
      </c>
      <c r="E24" s="720">
        <f t="shared" si="4"/>
        <v>26886743.049999993</v>
      </c>
      <c r="F24" s="720">
        <f t="shared" si="4"/>
        <v>23368268.350000001</v>
      </c>
      <c r="G24" s="721">
        <f t="shared" si="4"/>
        <v>3518474.7000000011</v>
      </c>
      <c r="H24" s="721">
        <f t="shared" si="4"/>
        <v>614889889.15999997</v>
      </c>
      <c r="I24" s="722">
        <f t="shared" si="4"/>
        <v>603789979.32000017</v>
      </c>
      <c r="J24" s="723">
        <f t="shared" si="4"/>
        <v>11099909.840000004</v>
      </c>
      <c r="K24" s="720">
        <f>SUM(K4:K23)</f>
        <v>960526.98999999987</v>
      </c>
      <c r="L24" s="723">
        <f>SUM(L4:L23)</f>
        <v>12060436.83</v>
      </c>
    </row>
    <row r="25" spans="1:12" x14ac:dyDescent="0.25">
      <c r="F25" s="111"/>
      <c r="L25" s="410" t="s">
        <v>540</v>
      </c>
    </row>
    <row r="26" spans="1:12" x14ac:dyDescent="0.25">
      <c r="F26" s="111"/>
    </row>
    <row r="27" spans="1:12" x14ac:dyDescent="0.25">
      <c r="F27" s="111"/>
    </row>
    <row r="28" spans="1:12" x14ac:dyDescent="0.25">
      <c r="F28" s="111"/>
    </row>
  </sheetData>
  <mergeCells count="2">
    <mergeCell ref="J2:L2"/>
    <mergeCell ref="A1:L1"/>
  </mergeCells>
  <conditionalFormatting sqref="J4:J23 G4:G23 D4:D23">
    <cfRule type="cellIs" dxfId="1" priority="1" stopIfTrue="1" operator="greaterThanOrEqual">
      <formula>0</formula>
    </cfRule>
    <cfRule type="cellIs" dxfId="0" priority="2" stopIfTrue="1" operator="lessThan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 xml:space="preserve">&amp;C&amp;P&amp;R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opLeftCell="A7" workbookViewId="0">
      <selection sqref="A1:D1"/>
    </sheetView>
  </sheetViews>
  <sheetFormatPr defaultRowHeight="15.75" x14ac:dyDescent="0.25"/>
  <cols>
    <col min="1" max="1" width="42.85546875" style="414" customWidth="1"/>
    <col min="2" max="4" width="15.140625" style="414" bestFit="1" customWidth="1"/>
    <col min="5" max="5" width="11.7109375" style="414" customWidth="1"/>
    <col min="6" max="16384" width="9.140625" style="414"/>
  </cols>
  <sheetData>
    <row r="1" spans="1:5" ht="67.5" customHeight="1" thickBot="1" x14ac:dyDescent="0.3">
      <c r="A1" s="1040" t="s">
        <v>625</v>
      </c>
      <c r="B1" s="1040"/>
      <c r="C1" s="1040"/>
      <c r="D1" s="1040"/>
      <c r="E1" s="430"/>
    </row>
    <row r="2" spans="1:5" ht="30" x14ac:dyDescent="0.25">
      <c r="A2" s="1090" t="s">
        <v>210</v>
      </c>
      <c r="B2" s="727" t="s">
        <v>211</v>
      </c>
      <c r="C2" s="728" t="s">
        <v>212</v>
      </c>
      <c r="D2" s="729" t="s">
        <v>554</v>
      </c>
      <c r="E2" s="430"/>
    </row>
    <row r="3" spans="1:5" s="415" customFormat="1" ht="30.75" thickBot="1" x14ac:dyDescent="0.3">
      <c r="A3" s="1091"/>
      <c r="B3" s="730" t="s">
        <v>427</v>
      </c>
      <c r="C3" s="731" t="s">
        <v>427</v>
      </c>
      <c r="D3" s="732" t="s">
        <v>427</v>
      </c>
      <c r="E3" s="431"/>
    </row>
    <row r="4" spans="1:5" x14ac:dyDescent="0.25">
      <c r="A4" s="733" t="s">
        <v>430</v>
      </c>
      <c r="B4" s="734">
        <v>705389.45</v>
      </c>
      <c r="C4" s="734">
        <v>672631.89000000013</v>
      </c>
      <c r="D4" s="735">
        <f t="shared" ref="D4:D19" si="0">C4-B4</f>
        <v>-32757.559999999823</v>
      </c>
    </row>
    <row r="5" spans="1:5" x14ac:dyDescent="0.25">
      <c r="A5" s="736" t="s">
        <v>431</v>
      </c>
      <c r="B5" s="737">
        <v>23184600.84</v>
      </c>
      <c r="C5" s="737">
        <v>18059798.77</v>
      </c>
      <c r="D5" s="738">
        <f t="shared" si="0"/>
        <v>-5124802.07</v>
      </c>
      <c r="E5" s="75"/>
    </row>
    <row r="6" spans="1:5" x14ac:dyDescent="0.25">
      <c r="A6" s="736" t="s">
        <v>432</v>
      </c>
      <c r="B6" s="737">
        <v>679790.39</v>
      </c>
      <c r="C6" s="737">
        <v>649447.88</v>
      </c>
      <c r="D6" s="738">
        <f t="shared" si="0"/>
        <v>-30342.510000000009</v>
      </c>
      <c r="E6" s="75"/>
    </row>
    <row r="7" spans="1:5" x14ac:dyDescent="0.25">
      <c r="A7" s="736" t="s">
        <v>433</v>
      </c>
      <c r="B7" s="737">
        <v>0</v>
      </c>
      <c r="C7" s="737">
        <v>6890596.9000000004</v>
      </c>
      <c r="D7" s="738">
        <f t="shared" si="0"/>
        <v>6890596.9000000004</v>
      </c>
      <c r="E7" s="75"/>
    </row>
    <row r="8" spans="1:5" x14ac:dyDescent="0.25">
      <c r="A8" s="736" t="s">
        <v>434</v>
      </c>
      <c r="B8" s="737">
        <v>0</v>
      </c>
      <c r="C8" s="737">
        <v>145</v>
      </c>
      <c r="D8" s="738">
        <f t="shared" si="0"/>
        <v>145</v>
      </c>
      <c r="E8" s="75"/>
    </row>
    <row r="9" spans="1:5" x14ac:dyDescent="0.25">
      <c r="A9" s="736" t="s">
        <v>435</v>
      </c>
      <c r="B9" s="737">
        <v>0</v>
      </c>
      <c r="C9" s="737">
        <v>0</v>
      </c>
      <c r="D9" s="738">
        <f t="shared" si="0"/>
        <v>0</v>
      </c>
      <c r="E9" s="75"/>
    </row>
    <row r="10" spans="1:5" x14ac:dyDescent="0.25">
      <c r="A10" s="736" t="s">
        <v>436</v>
      </c>
      <c r="B10" s="737">
        <v>0</v>
      </c>
      <c r="C10" s="737">
        <v>58583</v>
      </c>
      <c r="D10" s="738">
        <f t="shared" si="0"/>
        <v>58583</v>
      </c>
      <c r="E10" s="75"/>
    </row>
    <row r="11" spans="1:5" x14ac:dyDescent="0.25">
      <c r="A11" s="736" t="s">
        <v>437</v>
      </c>
      <c r="B11" s="737">
        <v>247</v>
      </c>
      <c r="C11" s="737">
        <v>397418.44</v>
      </c>
      <c r="D11" s="738">
        <f t="shared" si="0"/>
        <v>397171.44</v>
      </c>
      <c r="E11" s="75"/>
    </row>
    <row r="12" spans="1:5" x14ac:dyDescent="0.25">
      <c r="A12" s="736" t="s">
        <v>438</v>
      </c>
      <c r="B12" s="737">
        <v>711665.88</v>
      </c>
      <c r="C12" s="737">
        <v>140956.62</v>
      </c>
      <c r="D12" s="738">
        <f t="shared" si="0"/>
        <v>-570709.26</v>
      </c>
      <c r="E12" s="75"/>
    </row>
    <row r="13" spans="1:5" ht="30" x14ac:dyDescent="0.25">
      <c r="A13" s="736" t="s">
        <v>439</v>
      </c>
      <c r="B13" s="737">
        <v>0</v>
      </c>
      <c r="C13" s="737">
        <v>2990</v>
      </c>
      <c r="D13" s="738">
        <f t="shared" si="0"/>
        <v>2990</v>
      </c>
      <c r="E13" s="75"/>
    </row>
    <row r="14" spans="1:5" ht="30" x14ac:dyDescent="0.25">
      <c r="A14" s="736" t="s">
        <v>440</v>
      </c>
      <c r="B14" s="737">
        <v>0</v>
      </c>
      <c r="C14" s="737">
        <v>24172</v>
      </c>
      <c r="D14" s="738">
        <f t="shared" si="0"/>
        <v>24172</v>
      </c>
      <c r="E14" s="75"/>
    </row>
    <row r="15" spans="1:5" x14ac:dyDescent="0.25">
      <c r="A15" s="736" t="s">
        <v>441</v>
      </c>
      <c r="B15" s="737">
        <v>1613.36</v>
      </c>
      <c r="C15" s="737">
        <v>1878.02</v>
      </c>
      <c r="D15" s="738">
        <f t="shared" si="0"/>
        <v>264.66000000000008</v>
      </c>
      <c r="E15" s="75"/>
    </row>
    <row r="16" spans="1:5" x14ac:dyDescent="0.25">
      <c r="A16" s="736" t="s">
        <v>442</v>
      </c>
      <c r="B16" s="737">
        <v>22651.989999999998</v>
      </c>
      <c r="C16" s="737">
        <v>35453.06</v>
      </c>
      <c r="D16" s="738">
        <f t="shared" si="0"/>
        <v>12801.07</v>
      </c>
      <c r="E16" s="75"/>
    </row>
    <row r="17" spans="1:5" x14ac:dyDescent="0.25">
      <c r="A17" s="736" t="s">
        <v>443</v>
      </c>
      <c r="B17" s="737">
        <v>0</v>
      </c>
      <c r="C17" s="737">
        <v>0</v>
      </c>
      <c r="D17" s="738">
        <f t="shared" si="0"/>
        <v>0</v>
      </c>
      <c r="E17" s="75"/>
    </row>
    <row r="18" spans="1:5" x14ac:dyDescent="0.25">
      <c r="A18" s="736" t="s">
        <v>444</v>
      </c>
      <c r="B18" s="737">
        <v>157.55000000000001</v>
      </c>
      <c r="C18" s="737">
        <v>24313.970000000005</v>
      </c>
      <c r="D18" s="738">
        <f t="shared" si="0"/>
        <v>24156.420000000006</v>
      </c>
      <c r="E18" s="75"/>
    </row>
    <row r="19" spans="1:5" x14ac:dyDescent="0.25">
      <c r="A19" s="736" t="s">
        <v>445</v>
      </c>
      <c r="B19" s="737">
        <v>26.143999999999998</v>
      </c>
      <c r="C19" s="737">
        <v>0.66</v>
      </c>
      <c r="D19" s="738">
        <f t="shared" si="0"/>
        <v>-25.483999999999998</v>
      </c>
      <c r="E19" s="75"/>
    </row>
    <row r="20" spans="1:5" x14ac:dyDescent="0.25">
      <c r="A20" s="739" t="s">
        <v>498</v>
      </c>
      <c r="B20" s="737">
        <v>12508.99</v>
      </c>
      <c r="C20" s="737">
        <v>1761.94</v>
      </c>
      <c r="D20" s="738"/>
      <c r="E20" s="75"/>
    </row>
    <row r="21" spans="1:5" x14ac:dyDescent="0.25">
      <c r="A21" s="739" t="s">
        <v>499</v>
      </c>
      <c r="B21" s="737">
        <v>0</v>
      </c>
      <c r="C21" s="737">
        <v>0</v>
      </c>
      <c r="D21" s="738"/>
      <c r="E21" s="75"/>
    </row>
    <row r="22" spans="1:5" x14ac:dyDescent="0.25">
      <c r="A22" s="739" t="s">
        <v>500</v>
      </c>
      <c r="B22" s="737">
        <v>0</v>
      </c>
      <c r="C22" s="737">
        <v>0</v>
      </c>
      <c r="D22" s="738"/>
      <c r="E22" s="75"/>
    </row>
    <row r="23" spans="1:5" x14ac:dyDescent="0.25">
      <c r="A23" s="736" t="s">
        <v>449</v>
      </c>
      <c r="B23" s="737">
        <v>257949.09</v>
      </c>
      <c r="C23" s="737">
        <v>422905.06999999995</v>
      </c>
      <c r="D23" s="738">
        <f t="shared" ref="D23:D36" si="1">C23-B23</f>
        <v>164955.97999999995</v>
      </c>
      <c r="E23" s="75"/>
    </row>
    <row r="24" spans="1:5" ht="30" x14ac:dyDescent="0.25">
      <c r="A24" s="736" t="s">
        <v>450</v>
      </c>
      <c r="B24" s="737">
        <v>1131.17</v>
      </c>
      <c r="C24" s="737">
        <v>116.81</v>
      </c>
      <c r="D24" s="738">
        <f t="shared" si="1"/>
        <v>-1014.3600000000001</v>
      </c>
      <c r="E24" s="75"/>
    </row>
    <row r="25" spans="1:5" ht="30" x14ac:dyDescent="0.25">
      <c r="A25" s="736" t="s">
        <v>451</v>
      </c>
      <c r="B25" s="737">
        <v>0</v>
      </c>
      <c r="C25" s="737">
        <v>0</v>
      </c>
      <c r="D25" s="738">
        <f t="shared" si="1"/>
        <v>0</v>
      </c>
      <c r="E25" s="75"/>
    </row>
    <row r="26" spans="1:5" ht="30" x14ac:dyDescent="0.25">
      <c r="A26" s="736" t="s">
        <v>452</v>
      </c>
      <c r="B26" s="737">
        <v>0</v>
      </c>
      <c r="C26" s="737">
        <v>0</v>
      </c>
      <c r="D26" s="738">
        <f t="shared" si="1"/>
        <v>0</v>
      </c>
      <c r="E26" s="75"/>
    </row>
    <row r="27" spans="1:5" x14ac:dyDescent="0.25">
      <c r="A27" s="736" t="s">
        <v>453</v>
      </c>
      <c r="B27" s="737">
        <v>0</v>
      </c>
      <c r="C27" s="737">
        <v>905</v>
      </c>
      <c r="D27" s="738">
        <f t="shared" si="1"/>
        <v>905</v>
      </c>
      <c r="E27" s="75"/>
    </row>
    <row r="28" spans="1:5" ht="30" x14ac:dyDescent="0.25">
      <c r="A28" s="736" t="s">
        <v>454</v>
      </c>
      <c r="B28" s="737">
        <v>0</v>
      </c>
      <c r="C28" s="737">
        <v>0</v>
      </c>
      <c r="D28" s="738">
        <f t="shared" si="1"/>
        <v>0</v>
      </c>
      <c r="E28" s="75"/>
    </row>
    <row r="29" spans="1:5" x14ac:dyDescent="0.25">
      <c r="A29" s="736" t="s">
        <v>470</v>
      </c>
      <c r="B29" s="737">
        <v>392702.14</v>
      </c>
      <c r="C29" s="737">
        <v>12181.339999999995</v>
      </c>
      <c r="D29" s="738">
        <f t="shared" si="1"/>
        <v>-380520.80000000005</v>
      </c>
      <c r="E29" s="75"/>
    </row>
    <row r="30" spans="1:5" x14ac:dyDescent="0.25">
      <c r="A30" s="736" t="s">
        <v>456</v>
      </c>
      <c r="B30" s="737">
        <v>0</v>
      </c>
      <c r="C30" s="737">
        <v>0</v>
      </c>
      <c r="D30" s="738">
        <f t="shared" si="1"/>
        <v>0</v>
      </c>
      <c r="E30" s="75"/>
    </row>
    <row r="31" spans="1:5" x14ac:dyDescent="0.25">
      <c r="A31" s="736" t="s">
        <v>501</v>
      </c>
      <c r="B31" s="737">
        <v>258</v>
      </c>
      <c r="C31" s="737">
        <v>888.44</v>
      </c>
      <c r="D31" s="738">
        <f t="shared" si="1"/>
        <v>630.44000000000005</v>
      </c>
      <c r="E31" s="75"/>
    </row>
    <row r="32" spans="1:5" x14ac:dyDescent="0.25">
      <c r="A32" s="736" t="s">
        <v>502</v>
      </c>
      <c r="B32" s="737">
        <v>0</v>
      </c>
      <c r="C32" s="737">
        <v>0</v>
      </c>
      <c r="D32" s="738">
        <f t="shared" si="1"/>
        <v>0</v>
      </c>
      <c r="E32" s="75"/>
    </row>
    <row r="33" spans="1:5" x14ac:dyDescent="0.25">
      <c r="A33" s="736" t="s">
        <v>459</v>
      </c>
      <c r="B33" s="737">
        <v>0</v>
      </c>
      <c r="C33" s="737">
        <v>0</v>
      </c>
      <c r="D33" s="738">
        <f t="shared" si="1"/>
        <v>0</v>
      </c>
      <c r="E33" s="75"/>
    </row>
    <row r="34" spans="1:5" x14ac:dyDescent="0.25">
      <c r="A34" s="736" t="s">
        <v>460</v>
      </c>
      <c r="B34" s="737">
        <v>0</v>
      </c>
      <c r="C34" s="737">
        <v>0</v>
      </c>
      <c r="D34" s="738">
        <f t="shared" si="1"/>
        <v>0</v>
      </c>
      <c r="E34" s="75"/>
    </row>
    <row r="35" spans="1:5" x14ac:dyDescent="0.25">
      <c r="A35" s="736" t="s">
        <v>461</v>
      </c>
      <c r="B35" s="737">
        <v>0</v>
      </c>
      <c r="C35" s="737">
        <v>0</v>
      </c>
      <c r="D35" s="738">
        <f t="shared" si="1"/>
        <v>0</v>
      </c>
      <c r="E35" s="75"/>
    </row>
    <row r="36" spans="1:5" x14ac:dyDescent="0.25">
      <c r="A36" s="736" t="s">
        <v>462</v>
      </c>
      <c r="B36" s="737">
        <v>0</v>
      </c>
      <c r="C36" s="737">
        <v>0</v>
      </c>
      <c r="D36" s="738">
        <f t="shared" si="1"/>
        <v>0</v>
      </c>
      <c r="E36" s="75"/>
    </row>
    <row r="37" spans="1:5" x14ac:dyDescent="0.25">
      <c r="A37" s="739" t="s">
        <v>503</v>
      </c>
      <c r="B37" s="737">
        <v>0</v>
      </c>
      <c r="C37" s="737">
        <v>0</v>
      </c>
      <c r="D37" s="738"/>
      <c r="E37" s="75"/>
    </row>
    <row r="38" spans="1:5" ht="16.5" thickBot="1" x14ac:dyDescent="0.3">
      <c r="A38" s="740" t="s">
        <v>504</v>
      </c>
      <c r="B38" s="741">
        <v>31775959.77</v>
      </c>
      <c r="C38" s="741">
        <v>31685171.320000004</v>
      </c>
      <c r="D38" s="742">
        <f>C38-B38</f>
        <v>-90788.44999999553</v>
      </c>
      <c r="E38" s="75"/>
    </row>
    <row r="39" spans="1:5" ht="16.5" thickBot="1" x14ac:dyDescent="0.3">
      <c r="A39" s="743" t="s">
        <v>429</v>
      </c>
      <c r="B39" s="744">
        <f>SUM(B4:B38)</f>
        <v>57746651.763999999</v>
      </c>
      <c r="C39" s="745">
        <f>SUM(C4:C38)</f>
        <v>59082316.130000003</v>
      </c>
      <c r="D39" s="746">
        <f>SUM(D4:D38)</f>
        <v>1346411.4160000049</v>
      </c>
      <c r="E39" s="75"/>
    </row>
    <row r="40" spans="1:5" x14ac:dyDescent="0.25">
      <c r="D40" s="410" t="s">
        <v>540</v>
      </c>
    </row>
    <row r="41" spans="1:5" x14ac:dyDescent="0.25">
      <c r="D41" s="113"/>
    </row>
    <row r="42" spans="1:5" x14ac:dyDescent="0.25">
      <c r="D42" s="113"/>
    </row>
    <row r="44" spans="1:5" x14ac:dyDescent="0.25">
      <c r="D44" s="113"/>
    </row>
  </sheetData>
  <mergeCells count="2">
    <mergeCell ref="A1:D1"/>
    <mergeCell ref="A2:A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J26" sqref="J26"/>
    </sheetView>
  </sheetViews>
  <sheetFormatPr defaultRowHeight="15" x14ac:dyDescent="0.25"/>
  <cols>
    <col min="1" max="1" width="45.7109375" style="432" bestFit="1" customWidth="1"/>
    <col min="2" max="3" width="15.140625" style="432" bestFit="1" customWidth="1"/>
    <col min="4" max="4" width="18.140625" style="432" bestFit="1" customWidth="1"/>
    <col min="5" max="5" width="6.28515625" style="432" customWidth="1"/>
    <col min="6" max="16384" width="9.140625" style="432"/>
  </cols>
  <sheetData>
    <row r="1" spans="1:5" ht="71.25" customHeight="1" thickBot="1" x14ac:dyDescent="0.3">
      <c r="A1" s="1038" t="s">
        <v>626</v>
      </c>
      <c r="B1" s="1038"/>
      <c r="C1" s="1038"/>
      <c r="D1" s="1038"/>
      <c r="E1" s="76"/>
    </row>
    <row r="2" spans="1:5" ht="28.5" customHeight="1" x14ac:dyDescent="0.25">
      <c r="A2" s="1092" t="s">
        <v>210</v>
      </c>
      <c r="B2" s="747" t="s">
        <v>211</v>
      </c>
      <c r="C2" s="748" t="s">
        <v>212</v>
      </c>
      <c r="D2" s="749" t="s">
        <v>469</v>
      </c>
      <c r="E2" s="76"/>
    </row>
    <row r="3" spans="1:5" ht="46.5" customHeight="1" thickBot="1" x14ac:dyDescent="0.3">
      <c r="A3" s="1093"/>
      <c r="B3" s="750" t="s">
        <v>213</v>
      </c>
      <c r="C3" s="751" t="s">
        <v>213</v>
      </c>
      <c r="D3" s="752" t="s">
        <v>213</v>
      </c>
      <c r="E3" s="431"/>
    </row>
    <row r="4" spans="1:5" ht="15.75" x14ac:dyDescent="0.25">
      <c r="A4" s="753" t="s">
        <v>214</v>
      </c>
      <c r="B4" s="754">
        <v>5101970.6400000015</v>
      </c>
      <c r="C4" s="754">
        <v>5284233.3500000006</v>
      </c>
      <c r="D4" s="755">
        <f t="shared" ref="D4:D31" si="0">C4-B4</f>
        <v>182262.70999999903</v>
      </c>
      <c r="E4" s="75"/>
    </row>
    <row r="5" spans="1:5" ht="15.75" x14ac:dyDescent="0.25">
      <c r="A5" s="673" t="s">
        <v>215</v>
      </c>
      <c r="B5" s="756">
        <v>13181090.27</v>
      </c>
      <c r="C5" s="756">
        <v>13001857.909999996</v>
      </c>
      <c r="D5" s="757">
        <f t="shared" si="0"/>
        <v>-179232.36000000313</v>
      </c>
      <c r="E5" s="75"/>
    </row>
    <row r="6" spans="1:5" ht="15.75" x14ac:dyDescent="0.25">
      <c r="A6" s="673" t="s">
        <v>216</v>
      </c>
      <c r="B6" s="756">
        <v>884484.12</v>
      </c>
      <c r="C6" s="756">
        <v>815750.54</v>
      </c>
      <c r="D6" s="757">
        <f t="shared" si="0"/>
        <v>-68733.579999999958</v>
      </c>
      <c r="E6" s="75"/>
    </row>
    <row r="7" spans="1:5" ht="15.75" x14ac:dyDescent="0.25">
      <c r="A7" s="673" t="s">
        <v>217</v>
      </c>
      <c r="B7" s="756">
        <v>3659395.0499999993</v>
      </c>
      <c r="C7" s="756">
        <v>3649289.36</v>
      </c>
      <c r="D7" s="757">
        <f t="shared" si="0"/>
        <v>-10105.689999999478</v>
      </c>
      <c r="E7" s="75"/>
    </row>
    <row r="8" spans="1:5" ht="15.75" x14ac:dyDescent="0.25">
      <c r="A8" s="673" t="s">
        <v>218</v>
      </c>
      <c r="B8" s="756">
        <v>20799.479999999996</v>
      </c>
      <c r="C8" s="756">
        <v>11405.66</v>
      </c>
      <c r="D8" s="757">
        <f t="shared" si="0"/>
        <v>-9393.8199999999961</v>
      </c>
      <c r="E8" s="75"/>
    </row>
    <row r="9" spans="1:5" ht="15.75" x14ac:dyDescent="0.25">
      <c r="A9" s="673" t="s">
        <v>219</v>
      </c>
      <c r="B9" s="756">
        <v>8343.869999999999</v>
      </c>
      <c r="C9" s="756">
        <v>7191.42</v>
      </c>
      <c r="D9" s="757">
        <f t="shared" si="0"/>
        <v>-1152.4499999999989</v>
      </c>
      <c r="E9" s="75"/>
    </row>
    <row r="10" spans="1:5" ht="15.75" x14ac:dyDescent="0.25">
      <c r="A10" s="673" t="s">
        <v>220</v>
      </c>
      <c r="B10" s="756">
        <v>4270792.9000000013</v>
      </c>
      <c r="C10" s="756">
        <v>4739632.7600000007</v>
      </c>
      <c r="D10" s="757">
        <f t="shared" si="0"/>
        <v>468839.8599999994</v>
      </c>
      <c r="E10" s="75"/>
    </row>
    <row r="11" spans="1:5" ht="15.75" x14ac:dyDescent="0.25">
      <c r="A11" s="673" t="s">
        <v>221</v>
      </c>
      <c r="B11" s="756">
        <v>10216044.680000002</v>
      </c>
      <c r="C11" s="756">
        <v>10491074.550000001</v>
      </c>
      <c r="D11" s="757">
        <f t="shared" si="0"/>
        <v>275029.86999999918</v>
      </c>
      <c r="E11" s="75"/>
    </row>
    <row r="12" spans="1:5" ht="15.75" x14ac:dyDescent="0.25">
      <c r="A12" s="673" t="s">
        <v>222</v>
      </c>
      <c r="B12" s="756">
        <v>3417631.9700000011</v>
      </c>
      <c r="C12" s="756">
        <v>3558283.0899999994</v>
      </c>
      <c r="D12" s="757">
        <f t="shared" si="0"/>
        <v>140651.11999999825</v>
      </c>
      <c r="E12" s="75"/>
    </row>
    <row r="13" spans="1:5" ht="15.75" x14ac:dyDescent="0.25">
      <c r="A13" s="673" t="s">
        <v>223</v>
      </c>
      <c r="B13" s="756">
        <v>95763.85</v>
      </c>
      <c r="C13" s="756">
        <v>99868.4</v>
      </c>
      <c r="D13" s="757">
        <f t="shared" si="0"/>
        <v>4104.5499999999884</v>
      </c>
      <c r="E13" s="75"/>
    </row>
    <row r="14" spans="1:5" ht="15.75" x14ac:dyDescent="0.25">
      <c r="A14" s="673" t="s">
        <v>224</v>
      </c>
      <c r="B14" s="756">
        <v>2132357.9499999997</v>
      </c>
      <c r="C14" s="756">
        <v>2217236.2400000002</v>
      </c>
      <c r="D14" s="757">
        <f t="shared" si="0"/>
        <v>84878.290000000503</v>
      </c>
      <c r="E14" s="75"/>
    </row>
    <row r="15" spans="1:5" ht="15.75" x14ac:dyDescent="0.25">
      <c r="A15" s="673" t="s">
        <v>225</v>
      </c>
      <c r="B15" s="756">
        <v>0</v>
      </c>
      <c r="C15" s="756">
        <v>0</v>
      </c>
      <c r="D15" s="757">
        <f t="shared" si="0"/>
        <v>0</v>
      </c>
      <c r="E15" s="75"/>
    </row>
    <row r="16" spans="1:5" ht="15.75" x14ac:dyDescent="0.25">
      <c r="A16" s="673" t="s">
        <v>226</v>
      </c>
      <c r="B16" s="756">
        <v>0</v>
      </c>
      <c r="C16" s="756">
        <v>0</v>
      </c>
      <c r="D16" s="757">
        <f t="shared" si="0"/>
        <v>0</v>
      </c>
      <c r="E16" s="75"/>
    </row>
    <row r="17" spans="1:5" ht="15.75" x14ac:dyDescent="0.25">
      <c r="A17" s="673" t="s">
        <v>227</v>
      </c>
      <c r="B17" s="756">
        <v>187250.04</v>
      </c>
      <c r="C17" s="756">
        <v>225676.47</v>
      </c>
      <c r="D17" s="757">
        <f t="shared" si="0"/>
        <v>38426.429999999993</v>
      </c>
      <c r="E17" s="75"/>
    </row>
    <row r="18" spans="1:5" ht="15.75" x14ac:dyDescent="0.25">
      <c r="A18" s="673" t="s">
        <v>228</v>
      </c>
      <c r="B18" s="756">
        <v>78569.78</v>
      </c>
      <c r="C18" s="756">
        <v>105834.21</v>
      </c>
      <c r="D18" s="757">
        <f t="shared" si="0"/>
        <v>27264.430000000008</v>
      </c>
      <c r="E18" s="75"/>
    </row>
    <row r="19" spans="1:5" ht="15.75" x14ac:dyDescent="0.25">
      <c r="A19" s="673" t="s">
        <v>229</v>
      </c>
      <c r="B19" s="756">
        <v>466.28</v>
      </c>
      <c r="C19" s="756">
        <v>375.4</v>
      </c>
      <c r="D19" s="757">
        <f t="shared" si="0"/>
        <v>-90.88</v>
      </c>
      <c r="E19" s="75"/>
    </row>
    <row r="20" spans="1:5" ht="15.75" x14ac:dyDescent="0.25">
      <c r="A20" s="673" t="s">
        <v>230</v>
      </c>
      <c r="B20" s="756">
        <v>427.44</v>
      </c>
      <c r="C20" s="756">
        <v>398.49</v>
      </c>
      <c r="D20" s="757">
        <f t="shared" si="0"/>
        <v>-28.949999999999989</v>
      </c>
      <c r="E20" s="75"/>
    </row>
    <row r="21" spans="1:5" ht="15.75" x14ac:dyDescent="0.25">
      <c r="A21" s="673" t="s">
        <v>231</v>
      </c>
      <c r="B21" s="756">
        <v>614.16</v>
      </c>
      <c r="C21" s="756">
        <v>214.14</v>
      </c>
      <c r="D21" s="757">
        <f t="shared" si="0"/>
        <v>-400.02</v>
      </c>
      <c r="E21" s="75"/>
    </row>
    <row r="22" spans="1:5" ht="15.75" x14ac:dyDescent="0.25">
      <c r="A22" s="673" t="s">
        <v>232</v>
      </c>
      <c r="B22" s="756">
        <v>0</v>
      </c>
      <c r="C22" s="756">
        <v>8.67</v>
      </c>
      <c r="D22" s="757">
        <f t="shared" si="0"/>
        <v>8.67</v>
      </c>
      <c r="E22" s="75"/>
    </row>
    <row r="23" spans="1:5" ht="15.75" x14ac:dyDescent="0.25">
      <c r="A23" s="673" t="s">
        <v>233</v>
      </c>
      <c r="B23" s="756">
        <v>47.73</v>
      </c>
      <c r="C23" s="756">
        <v>4.0999999999999996</v>
      </c>
      <c r="D23" s="757">
        <f t="shared" si="0"/>
        <v>-43.629999999999995</v>
      </c>
      <c r="E23" s="75"/>
    </row>
    <row r="24" spans="1:5" ht="15.75" x14ac:dyDescent="0.25">
      <c r="A24" s="673" t="s">
        <v>234</v>
      </c>
      <c r="B24" s="756">
        <v>0</v>
      </c>
      <c r="C24" s="756">
        <v>0</v>
      </c>
      <c r="D24" s="757">
        <f t="shared" si="0"/>
        <v>0</v>
      </c>
      <c r="E24" s="75"/>
    </row>
    <row r="25" spans="1:5" ht="15.75" x14ac:dyDescent="0.25">
      <c r="A25" s="673" t="s">
        <v>235</v>
      </c>
      <c r="B25" s="756">
        <v>0</v>
      </c>
      <c r="C25" s="756">
        <v>3000</v>
      </c>
      <c r="D25" s="757">
        <f t="shared" si="0"/>
        <v>3000</v>
      </c>
      <c r="E25" s="75"/>
    </row>
    <row r="26" spans="1:5" ht="15.75" x14ac:dyDescent="0.25">
      <c r="A26" s="673" t="s">
        <v>236</v>
      </c>
      <c r="B26" s="756">
        <v>9590.25</v>
      </c>
      <c r="C26" s="756">
        <v>32348.230000000003</v>
      </c>
      <c r="D26" s="757">
        <f t="shared" si="0"/>
        <v>22757.980000000003</v>
      </c>
      <c r="E26" s="75"/>
    </row>
    <row r="27" spans="1:5" ht="15.75" x14ac:dyDescent="0.25">
      <c r="A27" s="673" t="s">
        <v>237</v>
      </c>
      <c r="B27" s="756">
        <v>1202065.72</v>
      </c>
      <c r="C27" s="756">
        <v>1334940.54</v>
      </c>
      <c r="D27" s="757">
        <f t="shared" si="0"/>
        <v>132874.82000000007</v>
      </c>
      <c r="E27" s="75"/>
    </row>
    <row r="28" spans="1:5" ht="15.75" x14ac:dyDescent="0.25">
      <c r="A28" s="673" t="s">
        <v>238</v>
      </c>
      <c r="B28" s="756">
        <v>562786.03</v>
      </c>
      <c r="C28" s="756">
        <v>923187.07</v>
      </c>
      <c r="D28" s="757">
        <f t="shared" si="0"/>
        <v>360401.03999999992</v>
      </c>
      <c r="E28" s="75"/>
    </row>
    <row r="29" spans="1:5" ht="30" x14ac:dyDescent="0.25">
      <c r="A29" s="673" t="s">
        <v>239</v>
      </c>
      <c r="B29" s="756">
        <v>484.58</v>
      </c>
      <c r="C29" s="756">
        <v>0</v>
      </c>
      <c r="D29" s="757">
        <f t="shared" si="0"/>
        <v>-484.58</v>
      </c>
      <c r="E29" s="75"/>
    </row>
    <row r="30" spans="1:5" ht="15.75" x14ac:dyDescent="0.25">
      <c r="A30" s="673" t="s">
        <v>240</v>
      </c>
      <c r="B30" s="756">
        <v>0</v>
      </c>
      <c r="C30" s="756">
        <v>0</v>
      </c>
      <c r="D30" s="757">
        <f t="shared" si="0"/>
        <v>0</v>
      </c>
      <c r="E30" s="75"/>
    </row>
    <row r="31" spans="1:5" ht="15.75" x14ac:dyDescent="0.25">
      <c r="A31" s="673" t="s">
        <v>241</v>
      </c>
      <c r="B31" s="756">
        <v>0</v>
      </c>
      <c r="C31" s="756">
        <v>0</v>
      </c>
      <c r="D31" s="757">
        <f t="shared" si="0"/>
        <v>0</v>
      </c>
      <c r="E31" s="75"/>
    </row>
    <row r="32" spans="1:5" ht="15.75" x14ac:dyDescent="0.25">
      <c r="A32" s="673" t="s">
        <v>242</v>
      </c>
      <c r="B32" s="756">
        <v>0</v>
      </c>
      <c r="C32" s="756">
        <v>0</v>
      </c>
      <c r="D32" s="757"/>
      <c r="E32" s="75"/>
    </row>
    <row r="33" spans="1:5" ht="15.75" x14ac:dyDescent="0.25">
      <c r="A33" s="673" t="s">
        <v>243</v>
      </c>
      <c r="B33" s="756">
        <v>10509762.49</v>
      </c>
      <c r="C33" s="756">
        <v>11229051.24</v>
      </c>
      <c r="D33" s="757">
        <f t="shared" ref="D33:D39" si="1">C33-B33</f>
        <v>719288.75</v>
      </c>
      <c r="E33" s="75"/>
    </row>
    <row r="34" spans="1:5" ht="15.75" x14ac:dyDescent="0.25">
      <c r="A34" s="673" t="s">
        <v>244</v>
      </c>
      <c r="B34" s="756">
        <v>0</v>
      </c>
      <c r="C34" s="756">
        <v>0</v>
      </c>
      <c r="D34" s="757">
        <f t="shared" si="1"/>
        <v>0</v>
      </c>
      <c r="E34" s="75"/>
    </row>
    <row r="35" spans="1:5" ht="30" x14ac:dyDescent="0.25">
      <c r="A35" s="673" t="s">
        <v>245</v>
      </c>
      <c r="B35" s="756">
        <v>0</v>
      </c>
      <c r="C35" s="756">
        <v>0</v>
      </c>
      <c r="D35" s="757">
        <f t="shared" si="1"/>
        <v>0</v>
      </c>
      <c r="E35" s="75"/>
    </row>
    <row r="36" spans="1:5" ht="15.75" x14ac:dyDescent="0.25">
      <c r="A36" s="673" t="s">
        <v>246</v>
      </c>
      <c r="B36" s="756">
        <v>0</v>
      </c>
      <c r="C36" s="756">
        <v>0</v>
      </c>
      <c r="D36" s="757">
        <f t="shared" si="1"/>
        <v>0</v>
      </c>
      <c r="E36" s="75"/>
    </row>
    <row r="37" spans="1:5" ht="30" x14ac:dyDescent="0.25">
      <c r="A37" s="673" t="s">
        <v>247</v>
      </c>
      <c r="B37" s="756">
        <v>0</v>
      </c>
      <c r="C37" s="756">
        <v>0</v>
      </c>
      <c r="D37" s="757">
        <f t="shared" si="1"/>
        <v>0</v>
      </c>
      <c r="E37" s="75"/>
    </row>
    <row r="38" spans="1:5" ht="15.75" x14ac:dyDescent="0.25">
      <c r="A38" s="673" t="s">
        <v>248</v>
      </c>
      <c r="B38" s="756">
        <v>584299.15</v>
      </c>
      <c r="C38" s="756">
        <v>454084.6</v>
      </c>
      <c r="D38" s="757">
        <f t="shared" si="1"/>
        <v>-130214.55000000005</v>
      </c>
      <c r="E38" s="75"/>
    </row>
    <row r="39" spans="1:5" ht="16.5" thickBot="1" x14ac:dyDescent="0.3">
      <c r="A39" s="758" t="s">
        <v>249</v>
      </c>
      <c r="B39" s="759">
        <v>1800</v>
      </c>
      <c r="C39" s="759">
        <v>0</v>
      </c>
      <c r="D39" s="760">
        <f t="shared" si="1"/>
        <v>-1800</v>
      </c>
      <c r="E39" s="75"/>
    </row>
    <row r="40" spans="1:5" ht="16.5" thickBot="1" x14ac:dyDescent="0.3">
      <c r="A40" s="761" t="s">
        <v>21</v>
      </c>
      <c r="B40" s="762">
        <f>SUM(B4:B39)</f>
        <v>56126838.43</v>
      </c>
      <c r="C40" s="762">
        <f>SUM(C4:C39)</f>
        <v>58184946.439999998</v>
      </c>
      <c r="D40" s="763">
        <f>SUM(D4:D39)</f>
        <v>2058108.0099999935</v>
      </c>
      <c r="E40" s="75"/>
    </row>
    <row r="41" spans="1:5" x14ac:dyDescent="0.25">
      <c r="B41" s="433"/>
      <c r="D41" s="410" t="s">
        <v>540</v>
      </c>
    </row>
  </sheetData>
  <mergeCells count="2">
    <mergeCell ref="A1:D1"/>
    <mergeCell ref="A2:A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F1" sqref="F1"/>
    </sheetView>
  </sheetViews>
  <sheetFormatPr defaultRowHeight="15" x14ac:dyDescent="0.25"/>
  <cols>
    <col min="1" max="1" width="20.5703125" style="114" customWidth="1"/>
    <col min="2" max="2" width="18.85546875" style="114" customWidth="1"/>
    <col min="3" max="3" width="17.42578125" style="114" customWidth="1"/>
    <col min="4" max="4" width="23.42578125" style="114" customWidth="1"/>
    <col min="5" max="5" width="13" style="114" customWidth="1"/>
    <col min="6" max="16384" width="9.140625" style="114"/>
  </cols>
  <sheetData>
    <row r="1" spans="1:4" ht="81" customHeight="1" thickBot="1" x14ac:dyDescent="0.3">
      <c r="A1" s="1094" t="s">
        <v>606</v>
      </c>
      <c r="B1" s="1094"/>
      <c r="C1" s="1094"/>
      <c r="D1" s="1094"/>
    </row>
    <row r="2" spans="1:4" ht="87.75" customHeight="1" thickBot="1" x14ac:dyDescent="0.3">
      <c r="A2" s="764" t="s">
        <v>56</v>
      </c>
      <c r="B2" s="765" t="s">
        <v>505</v>
      </c>
      <c r="C2" s="765" t="s">
        <v>506</v>
      </c>
      <c r="D2" s="765" t="s">
        <v>489</v>
      </c>
    </row>
    <row r="3" spans="1:4" x14ac:dyDescent="0.25">
      <c r="A3" s="775" t="s">
        <v>29</v>
      </c>
      <c r="B3" s="772">
        <v>15017207.950000001</v>
      </c>
      <c r="C3" s="766">
        <v>15065360.33</v>
      </c>
      <c r="D3" s="907">
        <f t="shared" ref="D3:D22" si="0">B3-C3</f>
        <v>-48152.379999998957</v>
      </c>
    </row>
    <row r="4" spans="1:4" x14ac:dyDescent="0.25">
      <c r="A4" s="776" t="s">
        <v>39</v>
      </c>
      <c r="B4" s="773">
        <v>1620708.33</v>
      </c>
      <c r="C4" s="767">
        <v>1509432.7</v>
      </c>
      <c r="D4" s="908">
        <f t="shared" si="0"/>
        <v>111275.63000000012</v>
      </c>
    </row>
    <row r="5" spans="1:4" x14ac:dyDescent="0.25">
      <c r="A5" s="776" t="s">
        <v>37</v>
      </c>
      <c r="B5" s="773">
        <v>1807255</v>
      </c>
      <c r="C5" s="767">
        <v>2087376.3000000003</v>
      </c>
      <c r="D5" s="908">
        <f t="shared" si="0"/>
        <v>-280121.30000000028</v>
      </c>
    </row>
    <row r="6" spans="1:4" x14ac:dyDescent="0.25">
      <c r="A6" s="776" t="s">
        <v>42</v>
      </c>
      <c r="B6" s="773">
        <v>958418.35</v>
      </c>
      <c r="C6" s="767">
        <v>875374.15999999992</v>
      </c>
      <c r="D6" s="908">
        <f t="shared" si="0"/>
        <v>83044.190000000061</v>
      </c>
    </row>
    <row r="7" spans="1:4" x14ac:dyDescent="0.25">
      <c r="A7" s="776" t="s">
        <v>181</v>
      </c>
      <c r="B7" s="773">
        <v>741182.3899999999</v>
      </c>
      <c r="C7" s="767">
        <v>647533.93000000005</v>
      </c>
      <c r="D7" s="908">
        <f t="shared" si="0"/>
        <v>93648.459999999846</v>
      </c>
    </row>
    <row r="8" spans="1:4" x14ac:dyDescent="0.25">
      <c r="A8" s="776" t="s">
        <v>35</v>
      </c>
      <c r="B8" s="773">
        <v>1668582.08</v>
      </c>
      <c r="C8" s="767">
        <v>1518622.5100000002</v>
      </c>
      <c r="D8" s="908">
        <f t="shared" si="0"/>
        <v>149959.56999999983</v>
      </c>
    </row>
    <row r="9" spans="1:4" ht="20.25" customHeight="1" x14ac:dyDescent="0.25">
      <c r="A9" s="776" t="s">
        <v>261</v>
      </c>
      <c r="B9" s="773">
        <v>1062804.6599999999</v>
      </c>
      <c r="C9" s="767">
        <v>1046231.7800000001</v>
      </c>
      <c r="D9" s="908">
        <f t="shared" si="0"/>
        <v>16572.879999999772</v>
      </c>
    </row>
    <row r="10" spans="1:4" x14ac:dyDescent="0.25">
      <c r="A10" s="776" t="s">
        <v>40</v>
      </c>
      <c r="B10" s="773">
        <v>1046233</v>
      </c>
      <c r="C10" s="767">
        <v>1057100.51</v>
      </c>
      <c r="D10" s="908">
        <f t="shared" si="0"/>
        <v>-10867.510000000009</v>
      </c>
    </row>
    <row r="11" spans="1:4" x14ac:dyDescent="0.25">
      <c r="A11" s="776" t="s">
        <v>30</v>
      </c>
      <c r="B11" s="773">
        <v>8477482.8699999992</v>
      </c>
      <c r="C11" s="767">
        <v>8182871.8299999991</v>
      </c>
      <c r="D11" s="908">
        <f t="shared" si="0"/>
        <v>294611.04000000004</v>
      </c>
    </row>
    <row r="12" spans="1:4" x14ac:dyDescent="0.25">
      <c r="A12" s="776" t="s">
        <v>31</v>
      </c>
      <c r="B12" s="773">
        <v>7390315.2300000004</v>
      </c>
      <c r="C12" s="767">
        <v>7325056.5000000019</v>
      </c>
      <c r="D12" s="908">
        <f t="shared" si="0"/>
        <v>65258.729999998584</v>
      </c>
    </row>
    <row r="13" spans="1:4" x14ac:dyDescent="0.25">
      <c r="A13" s="776" t="s">
        <v>58</v>
      </c>
      <c r="B13" s="773">
        <v>6471326.9800000004</v>
      </c>
      <c r="C13" s="767">
        <v>6423782.7299999995</v>
      </c>
      <c r="D13" s="908">
        <f t="shared" si="0"/>
        <v>47544.250000000931</v>
      </c>
    </row>
    <row r="14" spans="1:4" x14ac:dyDescent="0.25">
      <c r="A14" s="776" t="s">
        <v>593</v>
      </c>
      <c r="B14" s="773">
        <v>815420.44</v>
      </c>
      <c r="C14" s="767">
        <v>779904.51</v>
      </c>
      <c r="D14" s="908">
        <f t="shared" si="0"/>
        <v>35515.929999999935</v>
      </c>
    </row>
    <row r="15" spans="1:4" x14ac:dyDescent="0.25">
      <c r="A15" s="776" t="s">
        <v>33</v>
      </c>
      <c r="B15" s="773">
        <v>5896197.2599999998</v>
      </c>
      <c r="C15" s="767">
        <v>5885731.8900000006</v>
      </c>
      <c r="D15" s="908">
        <f t="shared" si="0"/>
        <v>10465.36999999918</v>
      </c>
    </row>
    <row r="16" spans="1:4" x14ac:dyDescent="0.25">
      <c r="A16" s="776" t="s">
        <v>38</v>
      </c>
      <c r="B16" s="773">
        <v>1784079.56</v>
      </c>
      <c r="C16" s="767">
        <v>1627473.96</v>
      </c>
      <c r="D16" s="908">
        <f t="shared" si="0"/>
        <v>156605.60000000009</v>
      </c>
    </row>
    <row r="17" spans="1:4" x14ac:dyDescent="0.25">
      <c r="A17" s="776" t="s">
        <v>44</v>
      </c>
      <c r="B17" s="773">
        <v>2302590.5500000003</v>
      </c>
      <c r="C17" s="767">
        <v>1995671.04</v>
      </c>
      <c r="D17" s="908">
        <f t="shared" si="0"/>
        <v>306919.51000000024</v>
      </c>
    </row>
    <row r="18" spans="1:4" x14ac:dyDescent="0.25">
      <c r="A18" s="776" t="s">
        <v>49</v>
      </c>
      <c r="B18" s="773">
        <v>145362.75</v>
      </c>
      <c r="C18" s="767">
        <v>145362.75</v>
      </c>
      <c r="D18" s="908">
        <f t="shared" si="0"/>
        <v>0</v>
      </c>
    </row>
    <row r="19" spans="1:4" x14ac:dyDescent="0.25">
      <c r="A19" s="776" t="s">
        <v>52</v>
      </c>
      <c r="B19" s="773">
        <v>0</v>
      </c>
      <c r="C19" s="767">
        <v>0</v>
      </c>
      <c r="D19" s="908">
        <f t="shared" si="0"/>
        <v>0</v>
      </c>
    </row>
    <row r="20" spans="1:4" x14ac:dyDescent="0.25">
      <c r="A20" s="776" t="s">
        <v>262</v>
      </c>
      <c r="B20" s="773">
        <v>376858.39</v>
      </c>
      <c r="C20" s="767">
        <v>339206.89</v>
      </c>
      <c r="D20" s="908">
        <f t="shared" si="0"/>
        <v>37651.5</v>
      </c>
    </row>
    <row r="21" spans="1:4" x14ac:dyDescent="0.25">
      <c r="A21" s="776" t="s">
        <v>41</v>
      </c>
      <c r="B21" s="773">
        <v>555658.19999999995</v>
      </c>
      <c r="C21" s="767">
        <v>653815.3600000001</v>
      </c>
      <c r="D21" s="908">
        <f t="shared" si="0"/>
        <v>-98157.160000000149</v>
      </c>
    </row>
    <row r="22" spans="1:4" ht="15.75" thickBot="1" x14ac:dyDescent="0.3">
      <c r="A22" s="777" t="s">
        <v>48</v>
      </c>
      <c r="B22" s="774">
        <v>944632.14</v>
      </c>
      <c r="C22" s="768">
        <v>1019036.76</v>
      </c>
      <c r="D22" s="909">
        <f t="shared" si="0"/>
        <v>-74404.62</v>
      </c>
    </row>
    <row r="23" spans="1:4" ht="30.75" customHeight="1" thickBot="1" x14ac:dyDescent="0.3">
      <c r="A23" s="769" t="s">
        <v>21</v>
      </c>
      <c r="B23" s="770">
        <f>SUM(B3:B22)</f>
        <v>59082316.130000003</v>
      </c>
      <c r="C23" s="770">
        <f>SUM(C3:C22)</f>
        <v>58184946.439999998</v>
      </c>
      <c r="D23" s="771">
        <f>SUM(D3:D22)</f>
        <v>897369.68999999913</v>
      </c>
    </row>
    <row r="24" spans="1:4" x14ac:dyDescent="0.25">
      <c r="D24" s="410" t="s">
        <v>540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A7" workbookViewId="0">
      <selection activeCell="I3" sqref="I3"/>
    </sheetView>
  </sheetViews>
  <sheetFormatPr defaultColWidth="14.5703125" defaultRowHeight="15.75" x14ac:dyDescent="0.25"/>
  <cols>
    <col min="1" max="1" width="14.5703125" style="437" customWidth="1"/>
    <col min="2" max="2" width="14.5703125" style="435" customWidth="1"/>
    <col min="3" max="3" width="14.28515625" style="435" customWidth="1"/>
    <col min="4" max="4" width="13.28515625" style="435" customWidth="1"/>
    <col min="5" max="5" width="12.7109375" style="435" customWidth="1"/>
    <col min="6" max="6" width="13.28515625" style="435" customWidth="1"/>
    <col min="7" max="9" width="14.5703125" style="435" customWidth="1"/>
    <col min="10" max="10" width="13.42578125" style="435" customWidth="1"/>
    <col min="11" max="11" width="13.140625" style="435" customWidth="1"/>
    <col min="12" max="12" width="13.42578125" style="435" customWidth="1"/>
    <col min="13" max="16384" width="14.5703125" style="435"/>
  </cols>
  <sheetData>
    <row r="1" spans="1:13" ht="21.75" thickBot="1" x14ac:dyDescent="0.3">
      <c r="A1" s="1095" t="s">
        <v>555</v>
      </c>
      <c r="B1" s="1095"/>
      <c r="C1" s="1095"/>
      <c r="D1" s="1095"/>
      <c r="E1" s="1095"/>
      <c r="F1" s="1095"/>
      <c r="G1" s="1095"/>
      <c r="H1" s="1095"/>
      <c r="I1" s="1095"/>
      <c r="J1" s="1095"/>
      <c r="K1" s="1095"/>
      <c r="L1" s="1095"/>
      <c r="M1" s="1095"/>
    </row>
    <row r="2" spans="1:13" ht="16.5" thickBot="1" x14ac:dyDescent="0.3">
      <c r="A2" s="1096" t="s">
        <v>507</v>
      </c>
      <c r="B2" s="1098" t="s">
        <v>508</v>
      </c>
      <c r="C2" s="1099"/>
      <c r="D2" s="1099"/>
      <c r="E2" s="1099"/>
      <c r="F2" s="1099"/>
      <c r="G2" s="1099"/>
      <c r="H2" s="1099" t="s">
        <v>509</v>
      </c>
      <c r="I2" s="1099"/>
      <c r="J2" s="1099"/>
      <c r="K2" s="1099"/>
      <c r="L2" s="1099"/>
      <c r="M2" s="1100"/>
    </row>
    <row r="3" spans="1:13" ht="169.5" customHeight="1" thickBot="1" x14ac:dyDescent="0.3">
      <c r="A3" s="1097"/>
      <c r="B3" s="861" t="s">
        <v>510</v>
      </c>
      <c r="C3" s="862" t="s">
        <v>646</v>
      </c>
      <c r="D3" s="862" t="s">
        <v>511</v>
      </c>
      <c r="E3" s="862" t="s">
        <v>512</v>
      </c>
      <c r="F3" s="862" t="s">
        <v>513</v>
      </c>
      <c r="G3" s="863" t="s">
        <v>21</v>
      </c>
      <c r="H3" s="861" t="s">
        <v>510</v>
      </c>
      <c r="I3" s="862" t="s">
        <v>646</v>
      </c>
      <c r="J3" s="862" t="s">
        <v>511</v>
      </c>
      <c r="K3" s="862" t="s">
        <v>512</v>
      </c>
      <c r="L3" s="862" t="s">
        <v>513</v>
      </c>
      <c r="M3" s="863" t="s">
        <v>21</v>
      </c>
    </row>
    <row r="4" spans="1:13" x14ac:dyDescent="0.25">
      <c r="A4" s="858" t="s">
        <v>29</v>
      </c>
      <c r="B4" s="787">
        <v>31963177.989999998</v>
      </c>
      <c r="C4" s="788"/>
      <c r="D4" s="789">
        <v>6706368.1100000003</v>
      </c>
      <c r="E4" s="789">
        <v>899264.9</v>
      </c>
      <c r="F4" s="789">
        <v>5380487.0300000003</v>
      </c>
      <c r="G4" s="790">
        <f>SUM(B4:F4)</f>
        <v>44949298.030000001</v>
      </c>
      <c r="H4" s="787">
        <v>32430774.969999999</v>
      </c>
      <c r="I4" s="788">
        <v>9955161.1699999999</v>
      </c>
      <c r="J4" s="788">
        <v>7996442.1500000004</v>
      </c>
      <c r="K4" s="788">
        <v>1498487.38</v>
      </c>
      <c r="L4" s="789">
        <v>9318104.1899999995</v>
      </c>
      <c r="M4" s="790">
        <f>SUM(H4:L4)</f>
        <v>61198969.859999999</v>
      </c>
    </row>
    <row r="5" spans="1:13" x14ac:dyDescent="0.25">
      <c r="A5" s="859" t="s">
        <v>39</v>
      </c>
      <c r="B5" s="791">
        <f>13839690.05-616548.93</f>
        <v>13223141.120000001</v>
      </c>
      <c r="C5" s="779">
        <v>709071.67</v>
      </c>
      <c r="D5" s="780">
        <v>452143.03</v>
      </c>
      <c r="E5" s="780">
        <v>113211.53</v>
      </c>
      <c r="F5" s="780">
        <v>830912.77</v>
      </c>
      <c r="G5" s="792">
        <f t="shared" ref="G5:G23" si="0">SUM(B5:F5)</f>
        <v>15328480.119999999</v>
      </c>
      <c r="H5" s="791">
        <f>13223141.12+1613415.98+2500-960323.34</f>
        <v>13878733.76</v>
      </c>
      <c r="I5" s="779">
        <v>6819987.9900000002</v>
      </c>
      <c r="J5" s="779">
        <v>869754.08</v>
      </c>
      <c r="K5" s="779">
        <v>311245.26</v>
      </c>
      <c r="L5" s="780">
        <f>595987.82-2500</f>
        <v>593487.81999999995</v>
      </c>
      <c r="M5" s="792">
        <f t="shared" ref="M5:M23" si="1">SUM(H5:L5)</f>
        <v>22473208.91</v>
      </c>
    </row>
    <row r="6" spans="1:13" x14ac:dyDescent="0.25">
      <c r="A6" s="859" t="s">
        <v>37</v>
      </c>
      <c r="B6" s="791">
        <v>10508801.51</v>
      </c>
      <c r="C6" s="779">
        <v>6966775.5599999996</v>
      </c>
      <c r="D6" s="780">
        <v>1715497.43</v>
      </c>
      <c r="E6" s="780">
        <v>423377.2</v>
      </c>
      <c r="F6" s="780">
        <v>5414.6</v>
      </c>
      <c r="G6" s="792">
        <f t="shared" si="0"/>
        <v>19619866.300000001</v>
      </c>
      <c r="H6" s="791">
        <v>10357087.74</v>
      </c>
      <c r="I6" s="779">
        <v>7995753.2199999997</v>
      </c>
      <c r="J6" s="779">
        <v>2042616.85</v>
      </c>
      <c r="K6" s="779">
        <v>38030.36</v>
      </c>
      <c r="L6" s="780">
        <v>295796.36</v>
      </c>
      <c r="M6" s="792">
        <f t="shared" si="1"/>
        <v>20729284.530000001</v>
      </c>
    </row>
    <row r="7" spans="1:13" x14ac:dyDescent="0.25">
      <c r="A7" s="859" t="s">
        <v>42</v>
      </c>
      <c r="B7" s="791">
        <v>3591052.74</v>
      </c>
      <c r="C7" s="779">
        <v>217517.6</v>
      </c>
      <c r="D7" s="780">
        <v>28508.35</v>
      </c>
      <c r="E7" s="780">
        <v>27020.91</v>
      </c>
      <c r="F7" s="780">
        <v>4790.97</v>
      </c>
      <c r="G7" s="792">
        <f t="shared" si="0"/>
        <v>3868890.5700000008</v>
      </c>
      <c r="H7" s="791">
        <v>3487409.85</v>
      </c>
      <c r="I7" s="779">
        <v>687054.76</v>
      </c>
      <c r="J7" s="779">
        <v>180037.98</v>
      </c>
      <c r="K7" s="779">
        <v>23878.68</v>
      </c>
      <c r="L7" s="780">
        <v>0</v>
      </c>
      <c r="M7" s="792">
        <f t="shared" si="1"/>
        <v>4378381.2700000005</v>
      </c>
    </row>
    <row r="8" spans="1:13" x14ac:dyDescent="0.25">
      <c r="A8" s="859" t="s">
        <v>181</v>
      </c>
      <c r="B8" s="791">
        <v>5323575.63</v>
      </c>
      <c r="C8" s="779">
        <v>108753.46</v>
      </c>
      <c r="D8" s="780">
        <v>224259.14</v>
      </c>
      <c r="E8" s="780">
        <v>40833.74</v>
      </c>
      <c r="F8" s="780">
        <v>159380.10999999999</v>
      </c>
      <c r="G8" s="792">
        <f t="shared" si="0"/>
        <v>5856802.0800000001</v>
      </c>
      <c r="H8" s="791">
        <v>5847028.1500000004</v>
      </c>
      <c r="I8" s="779">
        <v>5588474.8399999999</v>
      </c>
      <c r="J8" s="779">
        <v>227600</v>
      </c>
      <c r="K8" s="779">
        <v>28125.16</v>
      </c>
      <c r="L8" s="780">
        <v>142703.20000000001</v>
      </c>
      <c r="M8" s="792">
        <f t="shared" si="1"/>
        <v>11833931.35</v>
      </c>
    </row>
    <row r="9" spans="1:13" x14ac:dyDescent="0.25">
      <c r="A9" s="859" t="s">
        <v>35</v>
      </c>
      <c r="B9" s="791">
        <v>16528584.43</v>
      </c>
      <c r="C9" s="779">
        <v>1122878.43</v>
      </c>
      <c r="D9" s="780">
        <v>1061601.6499999999</v>
      </c>
      <c r="E9" s="780">
        <v>57696.61</v>
      </c>
      <c r="F9" s="780">
        <v>2009012.07</v>
      </c>
      <c r="G9" s="792">
        <f t="shared" si="0"/>
        <v>20779773.189999998</v>
      </c>
      <c r="H9" s="791">
        <v>17094250.550000001</v>
      </c>
      <c r="I9" s="779">
        <v>2674901.88</v>
      </c>
      <c r="J9" s="779">
        <v>673433.38</v>
      </c>
      <c r="K9" s="779">
        <v>87817.04</v>
      </c>
      <c r="L9" s="780">
        <v>3322901.11</v>
      </c>
      <c r="M9" s="792">
        <f t="shared" si="1"/>
        <v>23853303.959999997</v>
      </c>
    </row>
    <row r="10" spans="1:13" ht="30" x14ac:dyDescent="0.25">
      <c r="A10" s="859" t="s">
        <v>261</v>
      </c>
      <c r="B10" s="791">
        <v>7944083.3700000001</v>
      </c>
      <c r="C10" s="779">
        <v>0</v>
      </c>
      <c r="D10" s="780">
        <v>842942.69</v>
      </c>
      <c r="E10" s="780">
        <v>231662.72</v>
      </c>
      <c r="F10" s="780">
        <v>313994.51</v>
      </c>
      <c r="G10" s="792">
        <f t="shared" si="0"/>
        <v>9332683.290000001</v>
      </c>
      <c r="H10" s="791">
        <v>8715480.4199999999</v>
      </c>
      <c r="I10" s="779">
        <v>2543556.39</v>
      </c>
      <c r="J10" s="779">
        <v>924099.82</v>
      </c>
      <c r="K10" s="779">
        <v>170688.1</v>
      </c>
      <c r="L10" s="780">
        <v>279075.76</v>
      </c>
      <c r="M10" s="792">
        <f t="shared" si="1"/>
        <v>12632900.49</v>
      </c>
    </row>
    <row r="11" spans="1:13" x14ac:dyDescent="0.25">
      <c r="A11" s="859" t="s">
        <v>40</v>
      </c>
      <c r="B11" s="791">
        <v>10422537.960000001</v>
      </c>
      <c r="C11" s="779">
        <v>0</v>
      </c>
      <c r="D11" s="780">
        <v>361913.37</v>
      </c>
      <c r="E11" s="780">
        <v>39207.589999999997</v>
      </c>
      <c r="F11" s="780">
        <v>6376</v>
      </c>
      <c r="G11" s="792">
        <f t="shared" si="0"/>
        <v>10830034.92</v>
      </c>
      <c r="H11" s="791">
        <v>11571043.720000001</v>
      </c>
      <c r="I11" s="779">
        <v>5483603.1500000004</v>
      </c>
      <c r="J11" s="779">
        <v>622961.73</v>
      </c>
      <c r="K11" s="779">
        <v>107256.41</v>
      </c>
      <c r="L11" s="780">
        <v>380773.14</v>
      </c>
      <c r="M11" s="792">
        <f t="shared" si="1"/>
        <v>18165638.150000002</v>
      </c>
    </row>
    <row r="12" spans="1:13" ht="21" customHeight="1" x14ac:dyDescent="0.25">
      <c r="A12" s="859" t="s">
        <v>30</v>
      </c>
      <c r="B12" s="793">
        <v>33312741.98</v>
      </c>
      <c r="C12" s="778">
        <v>0</v>
      </c>
      <c r="D12" s="781">
        <v>7321318.4400000004</v>
      </c>
      <c r="E12" s="781">
        <v>2732984.23</v>
      </c>
      <c r="F12" s="781">
        <v>2585992.5099999998</v>
      </c>
      <c r="G12" s="792">
        <f t="shared" si="0"/>
        <v>45953037.159999996</v>
      </c>
      <c r="H12" s="793">
        <v>37410677.020000003</v>
      </c>
      <c r="I12" s="778">
        <v>10869869.800000001</v>
      </c>
      <c r="J12" s="778">
        <v>5112363.53</v>
      </c>
      <c r="K12" s="778">
        <v>2635309.92</v>
      </c>
      <c r="L12" s="781">
        <v>4759963.6399999997</v>
      </c>
      <c r="M12" s="792">
        <f t="shared" si="1"/>
        <v>60788183.910000011</v>
      </c>
    </row>
    <row r="13" spans="1:13" x14ac:dyDescent="0.25">
      <c r="A13" s="859" t="s">
        <v>31</v>
      </c>
      <c r="B13" s="791">
        <v>17044508.039999999</v>
      </c>
      <c r="C13" s="779">
        <v>765954</v>
      </c>
      <c r="D13" s="780">
        <v>2342177.0699999998</v>
      </c>
      <c r="E13" s="780">
        <v>1084562.4099999999</v>
      </c>
      <c r="F13" s="780">
        <v>1355126.83</v>
      </c>
      <c r="G13" s="792">
        <f t="shared" si="0"/>
        <v>22592328.350000001</v>
      </c>
      <c r="H13" s="791">
        <v>17581174.050000001</v>
      </c>
      <c r="I13" s="779">
        <v>6708889.5099999998</v>
      </c>
      <c r="J13" s="779">
        <v>2335742.13</v>
      </c>
      <c r="K13" s="779">
        <v>1183071.1200000001</v>
      </c>
      <c r="L13" s="780">
        <v>1320435.1100000001</v>
      </c>
      <c r="M13" s="792">
        <f t="shared" si="1"/>
        <v>29129311.920000002</v>
      </c>
    </row>
    <row r="14" spans="1:13" x14ac:dyDescent="0.25">
      <c r="A14" s="859" t="s">
        <v>58</v>
      </c>
      <c r="B14" s="791">
        <v>23311198.870000001</v>
      </c>
      <c r="C14" s="779">
        <v>161443.51999999999</v>
      </c>
      <c r="D14" s="780">
        <v>1049729.01</v>
      </c>
      <c r="E14" s="780">
        <v>939319.21</v>
      </c>
      <c r="F14" s="780">
        <v>16233.61</v>
      </c>
      <c r="G14" s="792">
        <f t="shared" si="0"/>
        <v>25477924.220000003</v>
      </c>
      <c r="H14" s="791">
        <v>26475113.899999999</v>
      </c>
      <c r="I14" s="779">
        <v>42693762.979999997</v>
      </c>
      <c r="J14" s="779">
        <v>889470.01</v>
      </c>
      <c r="K14" s="779">
        <v>895516.45</v>
      </c>
      <c r="L14" s="780">
        <v>692636.89</v>
      </c>
      <c r="M14" s="792">
        <f t="shared" si="1"/>
        <v>71646500.230000004</v>
      </c>
    </row>
    <row r="15" spans="1:13" ht="30" x14ac:dyDescent="0.25">
      <c r="A15" s="859" t="s">
        <v>593</v>
      </c>
      <c r="B15" s="791">
        <v>6429857.4400000004</v>
      </c>
      <c r="C15" s="779"/>
      <c r="D15" s="780">
        <v>1559121.77</v>
      </c>
      <c r="E15" s="780"/>
      <c r="F15" s="780">
        <v>1920</v>
      </c>
      <c r="G15" s="792">
        <f t="shared" si="0"/>
        <v>7990899.2100000009</v>
      </c>
      <c r="H15" s="791">
        <v>6239562.5599999996</v>
      </c>
      <c r="I15" s="779">
        <v>1702122.87</v>
      </c>
      <c r="J15" s="779">
        <v>2155377.29</v>
      </c>
      <c r="K15" s="779"/>
      <c r="L15" s="780">
        <v>396</v>
      </c>
      <c r="M15" s="792">
        <f t="shared" si="1"/>
        <v>10097458.719999999</v>
      </c>
    </row>
    <row r="16" spans="1:13" x14ac:dyDescent="0.25">
      <c r="A16" s="859" t="s">
        <v>33</v>
      </c>
      <c r="B16" s="791">
        <v>13449836.359999999</v>
      </c>
      <c r="C16" s="779">
        <v>1083297.8799999999</v>
      </c>
      <c r="D16" s="780">
        <v>1020216</v>
      </c>
      <c r="E16" s="780"/>
      <c r="F16" s="780">
        <v>7733749.3600000003</v>
      </c>
      <c r="G16" s="792">
        <f t="shared" si="0"/>
        <v>23287099.599999998</v>
      </c>
      <c r="H16" s="791">
        <v>13942828.720000001</v>
      </c>
      <c r="I16" s="779">
        <v>3035430.55</v>
      </c>
      <c r="J16" s="779">
        <v>1126655.19</v>
      </c>
      <c r="K16" s="779"/>
      <c r="L16" s="780">
        <v>15221963.310000001</v>
      </c>
      <c r="M16" s="792">
        <f t="shared" si="1"/>
        <v>33326877.770000003</v>
      </c>
    </row>
    <row r="17" spans="1:13" x14ac:dyDescent="0.25">
      <c r="A17" s="859" t="s">
        <v>38</v>
      </c>
      <c r="B17" s="791">
        <v>12263679.5</v>
      </c>
      <c r="C17" s="779">
        <v>3930646.79</v>
      </c>
      <c r="D17" s="780">
        <v>42947</v>
      </c>
      <c r="E17" s="780">
        <v>311647.61</v>
      </c>
      <c r="F17" s="780">
        <v>167322.64000000001</v>
      </c>
      <c r="G17" s="792">
        <f t="shared" si="0"/>
        <v>16716243.539999999</v>
      </c>
      <c r="H17" s="791">
        <v>12670310.49</v>
      </c>
      <c r="I17" s="779">
        <v>6202375.1100000003</v>
      </c>
      <c r="J17" s="779">
        <v>175426.12</v>
      </c>
      <c r="K17" s="779">
        <v>465590</v>
      </c>
      <c r="L17" s="780">
        <v>45682.29</v>
      </c>
      <c r="M17" s="792">
        <f t="shared" si="1"/>
        <v>19559384.010000002</v>
      </c>
    </row>
    <row r="18" spans="1:13" x14ac:dyDescent="0.25">
      <c r="A18" s="859" t="s">
        <v>44</v>
      </c>
      <c r="B18" s="791">
        <v>7221476.7000000002</v>
      </c>
      <c r="C18" s="779">
        <v>2974835.05</v>
      </c>
      <c r="D18" s="780">
        <v>79840.460000000006</v>
      </c>
      <c r="E18" s="780">
        <v>25674.080000000002</v>
      </c>
      <c r="F18" s="780">
        <v>811902.63</v>
      </c>
      <c r="G18" s="792">
        <f t="shared" si="0"/>
        <v>11113728.920000002</v>
      </c>
      <c r="H18" s="791">
        <v>7318513.0599999996</v>
      </c>
      <c r="I18" s="779">
        <v>4792428.32</v>
      </c>
      <c r="J18" s="779">
        <v>526255.42000000004</v>
      </c>
      <c r="K18" s="779">
        <v>15355.38</v>
      </c>
      <c r="L18" s="780">
        <v>609601.36</v>
      </c>
      <c r="M18" s="792">
        <f t="shared" si="1"/>
        <v>13262153.539999999</v>
      </c>
    </row>
    <row r="19" spans="1:13" ht="30" x14ac:dyDescent="0.25">
      <c r="A19" s="859" t="s">
        <v>49</v>
      </c>
      <c r="B19" s="791">
        <v>8503563.4199999999</v>
      </c>
      <c r="C19" s="779"/>
      <c r="D19" s="780">
        <v>142826.29999999999</v>
      </c>
      <c r="E19" s="780">
        <v>11210.23</v>
      </c>
      <c r="F19" s="780">
        <v>50139.19</v>
      </c>
      <c r="G19" s="792">
        <f t="shared" si="0"/>
        <v>8707739.1400000006</v>
      </c>
      <c r="H19" s="791">
        <v>8326502.5700000003</v>
      </c>
      <c r="I19" s="779"/>
      <c r="J19" s="779">
        <v>74354.009999999995</v>
      </c>
      <c r="K19" s="779">
        <v>12593.53</v>
      </c>
      <c r="L19" s="780">
        <v>36856.1</v>
      </c>
      <c r="M19" s="792">
        <f t="shared" si="1"/>
        <v>8450306.209999999</v>
      </c>
    </row>
    <row r="20" spans="1:13" ht="30" x14ac:dyDescent="0.25">
      <c r="A20" s="859" t="s">
        <v>52</v>
      </c>
      <c r="B20" s="791">
        <v>1394378.77</v>
      </c>
      <c r="C20" s="779"/>
      <c r="D20" s="780">
        <v>30592.28</v>
      </c>
      <c r="E20" s="780">
        <v>39136</v>
      </c>
      <c r="F20" s="780"/>
      <c r="G20" s="792">
        <f t="shared" si="0"/>
        <v>1464107.05</v>
      </c>
      <c r="H20" s="791">
        <v>1967042.69</v>
      </c>
      <c r="I20" s="779"/>
      <c r="J20" s="779">
        <v>23930.18</v>
      </c>
      <c r="K20" s="779">
        <v>28977.97</v>
      </c>
      <c r="L20" s="780">
        <v>12476.7</v>
      </c>
      <c r="M20" s="792">
        <f t="shared" si="1"/>
        <v>2032427.5399999998</v>
      </c>
    </row>
    <row r="21" spans="1:13" ht="30" x14ac:dyDescent="0.25">
      <c r="A21" s="859" t="s">
        <v>262</v>
      </c>
      <c r="B21" s="791">
        <v>3781327.97</v>
      </c>
      <c r="C21" s="779">
        <v>0</v>
      </c>
      <c r="D21" s="780">
        <v>10776.22</v>
      </c>
      <c r="E21" s="780">
        <v>21282.41</v>
      </c>
      <c r="F21" s="780">
        <v>23647.93</v>
      </c>
      <c r="G21" s="792">
        <f t="shared" si="0"/>
        <v>3837034.5300000007</v>
      </c>
      <c r="H21" s="791">
        <f>4309511.76-I21</f>
        <v>3864688.21</v>
      </c>
      <c r="I21" s="779">
        <f>406152.85-8103+47782.7-1009</f>
        <v>444823.55</v>
      </c>
      <c r="J21" s="779">
        <v>6492.54</v>
      </c>
      <c r="K21" s="779">
        <f>22.99+16634.4</f>
        <v>16657.390000000003</v>
      </c>
      <c r="L21" s="780">
        <v>1250</v>
      </c>
      <c r="M21" s="792">
        <f t="shared" si="1"/>
        <v>4333911.6899999995</v>
      </c>
    </row>
    <row r="22" spans="1:13" ht="30" x14ac:dyDescent="0.25">
      <c r="A22" s="859" t="s">
        <v>41</v>
      </c>
      <c r="B22" s="791">
        <v>7539285.4299999997</v>
      </c>
      <c r="C22" s="779"/>
      <c r="D22" s="780">
        <v>1477851</v>
      </c>
      <c r="E22" s="780"/>
      <c r="F22" s="780">
        <v>120</v>
      </c>
      <c r="G22" s="792">
        <f t="shared" si="0"/>
        <v>9017256.4299999997</v>
      </c>
      <c r="H22" s="791">
        <v>11751724.189999999</v>
      </c>
      <c r="I22" s="779"/>
      <c r="J22" s="779">
        <v>1018129.07</v>
      </c>
      <c r="K22" s="779"/>
      <c r="L22" s="780">
        <v>292.5</v>
      </c>
      <c r="M22" s="792">
        <f t="shared" si="1"/>
        <v>12770145.76</v>
      </c>
    </row>
    <row r="23" spans="1:13" ht="16.5" thickBot="1" x14ac:dyDescent="0.3">
      <c r="A23" s="860" t="s">
        <v>48</v>
      </c>
      <c r="B23" s="794">
        <v>5309749.37</v>
      </c>
      <c r="C23" s="795"/>
      <c r="D23" s="796">
        <v>117439.65</v>
      </c>
      <c r="E23" s="796">
        <v>52656.46</v>
      </c>
      <c r="F23" s="796">
        <f>585774.16+200334.78</f>
        <v>786108.94000000006</v>
      </c>
      <c r="G23" s="797">
        <f t="shared" si="0"/>
        <v>6265954.4200000009</v>
      </c>
      <c r="H23" s="794">
        <v>5085935.92</v>
      </c>
      <c r="I23" s="795">
        <v>3269887.27</v>
      </c>
      <c r="J23" s="795">
        <v>9449.42</v>
      </c>
      <c r="K23" s="795">
        <v>28509.99</v>
      </c>
      <c r="L23" s="796">
        <v>389890.14</v>
      </c>
      <c r="M23" s="797">
        <f t="shared" si="1"/>
        <v>8783672.7400000002</v>
      </c>
    </row>
    <row r="24" spans="1:13" s="436" customFormat="1" ht="16.5" thickBot="1" x14ac:dyDescent="0.3">
      <c r="A24" s="786" t="s">
        <v>26</v>
      </c>
      <c r="B24" s="785">
        <f>SUM(B4:B23)</f>
        <v>239066558.59999999</v>
      </c>
      <c r="C24" s="782">
        <f>SUM(C4:C23)</f>
        <v>18041173.959999997</v>
      </c>
      <c r="D24" s="782">
        <f t="shared" ref="D24:M24" si="2">SUM(D4:D23)</f>
        <v>26588068.970000003</v>
      </c>
      <c r="E24" s="782">
        <f t="shared" si="2"/>
        <v>7050747.8400000008</v>
      </c>
      <c r="F24" s="782">
        <f t="shared" si="2"/>
        <v>22242631.700000003</v>
      </c>
      <c r="G24" s="783">
        <f t="shared" si="2"/>
        <v>312989181.07000005</v>
      </c>
      <c r="H24" s="782">
        <f t="shared" si="2"/>
        <v>256015882.54000002</v>
      </c>
      <c r="I24" s="782">
        <f t="shared" si="2"/>
        <v>121468083.35999998</v>
      </c>
      <c r="J24" s="782">
        <f t="shared" si="2"/>
        <v>26990590.90000001</v>
      </c>
      <c r="K24" s="782">
        <f t="shared" si="2"/>
        <v>7547110.1400000006</v>
      </c>
      <c r="L24" s="782">
        <f t="shared" si="2"/>
        <v>37424285.620000005</v>
      </c>
      <c r="M24" s="784">
        <f t="shared" si="2"/>
        <v>449445952.56000006</v>
      </c>
    </row>
    <row r="25" spans="1:13" x14ac:dyDescent="0.25">
      <c r="M25" s="410" t="s">
        <v>540</v>
      </c>
    </row>
  </sheetData>
  <mergeCells count="4">
    <mergeCell ref="A1:M1"/>
    <mergeCell ref="A2:A3"/>
    <mergeCell ref="B2:G2"/>
    <mergeCell ref="H2:M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zoomScale="130" zoomScaleNormal="100" zoomScaleSheetLayoutView="130" workbookViewId="0">
      <selection sqref="A1:H1"/>
    </sheetView>
  </sheetViews>
  <sheetFormatPr defaultRowHeight="15" x14ac:dyDescent="0.25"/>
  <sheetData>
    <row r="1" spans="1:8" ht="75" customHeight="1" x14ac:dyDescent="0.25">
      <c r="A1" s="950" t="s">
        <v>609</v>
      </c>
      <c r="B1" s="950"/>
      <c r="C1" s="950"/>
      <c r="D1" s="950"/>
      <c r="E1" s="950"/>
      <c r="F1" s="950"/>
      <c r="G1" s="950"/>
      <c r="H1" s="950"/>
    </row>
    <row r="2" spans="1:8" x14ac:dyDescent="0.25">
      <c r="A2" s="1102" t="s">
        <v>610</v>
      </c>
      <c r="B2" s="1102"/>
      <c r="C2" s="1102"/>
      <c r="D2" s="1102"/>
      <c r="E2" s="1102"/>
      <c r="F2" s="1102"/>
      <c r="G2" s="1102"/>
      <c r="H2" s="1102"/>
    </row>
    <row r="15" spans="1:8" x14ac:dyDescent="0.25">
      <c r="A15" s="1101" t="s">
        <v>611</v>
      </c>
      <c r="B15" s="1101"/>
      <c r="C15" s="1101"/>
      <c r="D15" s="1101"/>
      <c r="E15" s="1101"/>
      <c r="F15" s="1101"/>
      <c r="G15" s="1101"/>
      <c r="H15" s="1101"/>
    </row>
    <row r="27" spans="1:8" x14ac:dyDescent="0.25">
      <c r="A27" s="1102" t="s">
        <v>612</v>
      </c>
      <c r="B27" s="1102"/>
      <c r="C27" s="1102"/>
      <c r="D27" s="1102"/>
      <c r="E27" s="1102"/>
      <c r="F27" s="1102"/>
      <c r="G27" s="1102"/>
      <c r="H27" s="1102"/>
    </row>
  </sheetData>
  <mergeCells count="4">
    <mergeCell ref="A1:H1"/>
    <mergeCell ref="A15:H15"/>
    <mergeCell ref="A2:H2"/>
    <mergeCell ref="A27:H2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view="pageLayout" topLeftCell="A4" zoomScale="110" zoomScaleNormal="100" zoomScalePageLayoutView="110" workbookViewId="0">
      <selection activeCell="H9" sqref="H9"/>
    </sheetView>
  </sheetViews>
  <sheetFormatPr defaultRowHeight="15" x14ac:dyDescent="0.25"/>
  <sheetData>
    <row r="1" spans="1:18" ht="56.25" customHeight="1" x14ac:dyDescent="0.25">
      <c r="A1" s="1104" t="s">
        <v>617</v>
      </c>
      <c r="B1" s="1104"/>
      <c r="C1" s="1104"/>
      <c r="D1" s="1104"/>
      <c r="E1" s="1104"/>
      <c r="F1" s="1104"/>
      <c r="G1" s="1104"/>
      <c r="H1" s="1104"/>
      <c r="I1" s="1104"/>
      <c r="J1" s="1104"/>
      <c r="K1" s="1104"/>
      <c r="L1" s="1104"/>
      <c r="M1" s="1104"/>
      <c r="N1" s="1104"/>
    </row>
    <row r="2" spans="1:18" x14ac:dyDescent="0.25">
      <c r="A2" s="1105" t="s">
        <v>613</v>
      </c>
      <c r="B2" s="1105"/>
      <c r="C2" s="1105"/>
      <c r="D2" s="1105"/>
      <c r="E2" s="1105"/>
      <c r="F2" s="1105"/>
      <c r="G2" s="1105"/>
      <c r="H2" s="1105"/>
      <c r="I2" s="1105"/>
      <c r="J2" s="1105"/>
      <c r="K2" s="1105"/>
      <c r="L2" s="1105"/>
      <c r="M2" s="1105"/>
      <c r="N2" s="1105"/>
    </row>
    <row r="3" spans="1:18" x14ac:dyDescent="0.25">
      <c r="A3" s="1103" t="s">
        <v>614</v>
      </c>
      <c r="B3" s="1103"/>
      <c r="C3" s="1103"/>
      <c r="D3" s="1103"/>
      <c r="N3" s="798" t="s">
        <v>615</v>
      </c>
      <c r="O3" s="798"/>
      <c r="P3" s="798"/>
      <c r="Q3" s="798"/>
      <c r="R3" s="798"/>
    </row>
    <row r="16" spans="1:18" x14ac:dyDescent="0.25">
      <c r="A16" s="1103" t="s">
        <v>614</v>
      </c>
      <c r="B16" s="1103"/>
      <c r="C16" s="1103"/>
      <c r="D16" s="1103"/>
      <c r="G16" s="801" t="s">
        <v>616</v>
      </c>
      <c r="N16" s="798" t="s">
        <v>615</v>
      </c>
    </row>
  </sheetData>
  <mergeCells count="4">
    <mergeCell ref="A16:D16"/>
    <mergeCell ref="A3:D3"/>
    <mergeCell ref="A1:N1"/>
    <mergeCell ref="A2:N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view="pageBreakPreview" zoomScale="115" zoomScaleNormal="100" zoomScaleSheetLayoutView="115" workbookViewId="0">
      <selection activeCell="A2" sqref="A2:D2"/>
    </sheetView>
  </sheetViews>
  <sheetFormatPr defaultRowHeight="15" x14ac:dyDescent="0.25"/>
  <sheetData>
    <row r="1" spans="1:14" ht="75" customHeight="1" x14ac:dyDescent="0.25">
      <c r="A1" s="1104" t="s">
        <v>632</v>
      </c>
      <c r="B1" s="1104"/>
      <c r="C1" s="1104"/>
      <c r="D1" s="1104"/>
      <c r="E1" s="1104"/>
      <c r="F1" s="1104"/>
      <c r="G1" s="1104"/>
      <c r="H1" s="1104"/>
      <c r="I1" s="1104"/>
      <c r="J1" s="1104"/>
      <c r="K1" s="1104"/>
      <c r="L1" s="1104"/>
      <c r="M1" s="1104"/>
      <c r="N1" s="1104"/>
    </row>
    <row r="2" spans="1:14" x14ac:dyDescent="0.25">
      <c r="A2" s="1103" t="s">
        <v>614</v>
      </c>
      <c r="B2" s="1103"/>
      <c r="C2" s="1103"/>
      <c r="D2" s="1103"/>
      <c r="E2" s="800"/>
      <c r="F2" s="800"/>
      <c r="G2" s="800" t="s">
        <v>613</v>
      </c>
      <c r="H2" s="800"/>
      <c r="I2" s="800"/>
      <c r="J2" s="800"/>
      <c r="N2" s="798" t="s">
        <v>615</v>
      </c>
    </row>
    <row r="16" spans="1:14" x14ac:dyDescent="0.25">
      <c r="A16" s="1103" t="s">
        <v>614</v>
      </c>
      <c r="B16" s="1103"/>
      <c r="C16" s="1103"/>
      <c r="D16" s="1103"/>
      <c r="E16" s="800"/>
      <c r="F16" s="800"/>
      <c r="G16" s="800" t="s">
        <v>618</v>
      </c>
      <c r="H16" s="800"/>
      <c r="I16" s="800"/>
      <c r="J16" s="800"/>
      <c r="N16" s="798" t="s">
        <v>615</v>
      </c>
    </row>
  </sheetData>
  <mergeCells count="3">
    <mergeCell ref="A1:N1"/>
    <mergeCell ref="A2:D2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Normal="100" zoomScaleSheetLayoutView="115" workbookViewId="0">
      <selection activeCell="K34" sqref="K34"/>
    </sheetView>
  </sheetViews>
  <sheetFormatPr defaultRowHeight="15" x14ac:dyDescent="0.25"/>
  <sheetData>
    <row r="1" spans="1:14" ht="75" customHeight="1" x14ac:dyDescent="0.25">
      <c r="A1" s="1106" t="s">
        <v>630</v>
      </c>
      <c r="B1" s="1104"/>
      <c r="C1" s="1104"/>
      <c r="D1" s="1104"/>
      <c r="E1" s="1104"/>
      <c r="F1" s="1104"/>
      <c r="G1" s="1104"/>
      <c r="H1" s="1104"/>
      <c r="I1" s="1104"/>
      <c r="J1" s="822"/>
      <c r="K1" s="822"/>
      <c r="L1" s="822"/>
      <c r="M1" s="822"/>
      <c r="N1" s="822"/>
    </row>
    <row r="2" spans="1:14" x14ac:dyDescent="0.25">
      <c r="A2" t="s">
        <v>629</v>
      </c>
    </row>
    <row r="15" spans="1:14" x14ac:dyDescent="0.25">
      <c r="A15" t="s">
        <v>628</v>
      </c>
    </row>
    <row r="28" spans="1:1" x14ac:dyDescent="0.25">
      <c r="A28" t="s">
        <v>627</v>
      </c>
    </row>
  </sheetData>
  <mergeCells count="1">
    <mergeCell ref="A1:I1"/>
  </mergeCells>
  <pageMargins left="0.7" right="0.7" top="0.75" bottom="0.75" header="0.3" footer="0.3"/>
  <pageSetup paperSize="9" orientation="portrait" r:id="rId1"/>
  <headerFooter>
    <oddFooter>&amp;C&amp;P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Layout" zoomScale="130" zoomScaleNormal="100" zoomScalePageLayoutView="130" workbookViewId="0">
      <selection sqref="A1:I1"/>
    </sheetView>
  </sheetViews>
  <sheetFormatPr defaultRowHeight="15" x14ac:dyDescent="0.25"/>
  <sheetData>
    <row r="1" spans="1:10" ht="75" customHeight="1" x14ac:dyDescent="0.25">
      <c r="A1" s="1106" t="s">
        <v>633</v>
      </c>
      <c r="B1" s="1106"/>
      <c r="C1" s="1106"/>
      <c r="D1" s="1106"/>
      <c r="E1" s="1106"/>
      <c r="F1" s="1106"/>
      <c r="G1" s="1106"/>
      <c r="H1" s="1106"/>
      <c r="I1" s="1106"/>
      <c r="J1" s="823"/>
    </row>
    <row r="2" spans="1:10" x14ac:dyDescent="0.25">
      <c r="B2" t="s">
        <v>634</v>
      </c>
      <c r="F2" t="s">
        <v>635</v>
      </c>
    </row>
    <row r="18" spans="1:10" ht="75" customHeight="1" x14ac:dyDescent="0.25">
      <c r="A18" s="1106" t="s">
        <v>636</v>
      </c>
      <c r="B18" s="1106"/>
      <c r="C18" s="1106"/>
      <c r="D18" s="1106"/>
      <c r="E18" s="1106"/>
      <c r="F18" s="1106"/>
      <c r="G18" s="1106"/>
      <c r="H18" s="1106"/>
      <c r="I18" s="1106"/>
      <c r="J18" s="822"/>
    </row>
    <row r="21" spans="1:10" x14ac:dyDescent="0.25">
      <c r="B21" t="s">
        <v>634</v>
      </c>
      <c r="F21" t="s">
        <v>637</v>
      </c>
    </row>
  </sheetData>
  <mergeCells count="2">
    <mergeCell ref="A18:I18"/>
    <mergeCell ref="A1:I1"/>
  </mergeCells>
  <pageMargins left="0.7" right="0.7" top="0.75" bottom="0.75" header="0.3" footer="0.3"/>
  <pageSetup paperSize="9" orientation="portrait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Normal="100" workbookViewId="0">
      <selection activeCell="A11" sqref="A11"/>
    </sheetView>
  </sheetViews>
  <sheetFormatPr defaultRowHeight="15" x14ac:dyDescent="0.25"/>
  <cols>
    <col min="1" max="1" width="46.28515625" customWidth="1"/>
    <col min="2" max="2" width="8.5703125" customWidth="1"/>
    <col min="3" max="3" width="10.140625" customWidth="1"/>
    <col min="4" max="10" width="8.5703125" customWidth="1"/>
  </cols>
  <sheetData>
    <row r="1" spans="1:10" ht="47.25" customHeight="1" thickBot="1" x14ac:dyDescent="0.3">
      <c r="A1" s="950" t="s">
        <v>180</v>
      </c>
      <c r="B1" s="950"/>
      <c r="C1" s="950"/>
      <c r="D1" s="950"/>
      <c r="E1" s="950"/>
      <c r="F1" s="950"/>
      <c r="G1" s="950"/>
      <c r="H1" s="950"/>
      <c r="I1" s="950"/>
      <c r="J1" s="950"/>
    </row>
    <row r="2" spans="1:10" ht="15.75" thickBot="1" x14ac:dyDescent="0.3">
      <c r="A2" s="123" t="s">
        <v>22</v>
      </c>
      <c r="B2" s="951" t="s">
        <v>99</v>
      </c>
      <c r="C2" s="952"/>
      <c r="D2" s="952"/>
      <c r="E2" s="953"/>
      <c r="F2" s="951" t="s">
        <v>100</v>
      </c>
      <c r="G2" s="952"/>
      <c r="H2" s="952"/>
      <c r="I2" s="953"/>
      <c r="J2" s="947" t="s">
        <v>21</v>
      </c>
    </row>
    <row r="3" spans="1:10" x14ac:dyDescent="0.25">
      <c r="A3" s="124" t="s">
        <v>23</v>
      </c>
      <c r="B3" s="954" t="s">
        <v>57</v>
      </c>
      <c r="C3" s="955"/>
      <c r="D3" s="954" t="s">
        <v>6</v>
      </c>
      <c r="E3" s="955"/>
      <c r="F3" s="954" t="s">
        <v>57</v>
      </c>
      <c r="G3" s="955"/>
      <c r="H3" s="954" t="s">
        <v>6</v>
      </c>
      <c r="I3" s="955"/>
      <c r="J3" s="948"/>
    </row>
    <row r="4" spans="1:10" ht="30.75" customHeight="1" thickBot="1" x14ac:dyDescent="0.3">
      <c r="A4" s="125" t="s">
        <v>24</v>
      </c>
      <c r="B4" s="126" t="s">
        <v>26</v>
      </c>
      <c r="C4" s="127" t="s">
        <v>27</v>
      </c>
      <c r="D4" s="126" t="s">
        <v>26</v>
      </c>
      <c r="E4" s="127" t="s">
        <v>27</v>
      </c>
      <c r="F4" s="126" t="s">
        <v>26</v>
      </c>
      <c r="G4" s="127" t="s">
        <v>27</v>
      </c>
      <c r="H4" s="126" t="s">
        <v>26</v>
      </c>
      <c r="I4" s="127" t="s">
        <v>27</v>
      </c>
      <c r="J4" s="949"/>
    </row>
    <row r="5" spans="1:10" x14ac:dyDescent="0.25">
      <c r="A5" s="128" t="s">
        <v>14</v>
      </c>
      <c r="B5" s="129">
        <v>7004</v>
      </c>
      <c r="C5" s="130">
        <v>5342</v>
      </c>
      <c r="D5" s="131">
        <v>508</v>
      </c>
      <c r="E5" s="132">
        <v>310</v>
      </c>
      <c r="F5" s="131">
        <v>0</v>
      </c>
      <c r="G5" s="132">
        <v>0</v>
      </c>
      <c r="H5" s="131">
        <v>0</v>
      </c>
      <c r="I5" s="132">
        <v>0</v>
      </c>
      <c r="J5" s="133">
        <f t="shared" ref="J5:J11" si="0" xml:space="preserve"> B5+D5+F5+H5</f>
        <v>7512</v>
      </c>
    </row>
    <row r="6" spans="1:10" x14ac:dyDescent="0.25">
      <c r="A6" s="134" t="s">
        <v>15</v>
      </c>
      <c r="B6" s="46">
        <v>9310</v>
      </c>
      <c r="C6" s="135">
        <v>8186</v>
      </c>
      <c r="D6" s="46">
        <v>1642</v>
      </c>
      <c r="E6" s="135">
        <v>1246</v>
      </c>
      <c r="F6" s="136">
        <v>336</v>
      </c>
      <c r="G6" s="137">
        <v>122</v>
      </c>
      <c r="H6" s="136">
        <v>21</v>
      </c>
      <c r="I6" s="137">
        <v>9</v>
      </c>
      <c r="J6" s="138">
        <f t="shared" si="0"/>
        <v>11309</v>
      </c>
    </row>
    <row r="7" spans="1:10" x14ac:dyDescent="0.25">
      <c r="A7" s="134" t="s">
        <v>16</v>
      </c>
      <c r="B7" s="46">
        <v>91525</v>
      </c>
      <c r="C7" s="135">
        <v>64371</v>
      </c>
      <c r="D7" s="46">
        <v>4267</v>
      </c>
      <c r="E7" s="135">
        <v>1892</v>
      </c>
      <c r="F7" s="46">
        <v>30169</v>
      </c>
      <c r="G7" s="135">
        <v>7154</v>
      </c>
      <c r="H7" s="136">
        <v>443</v>
      </c>
      <c r="I7" s="137">
        <v>57</v>
      </c>
      <c r="J7" s="138">
        <f t="shared" si="0"/>
        <v>126404</v>
      </c>
    </row>
    <row r="8" spans="1:10" x14ac:dyDescent="0.25">
      <c r="A8" s="134" t="s">
        <v>17</v>
      </c>
      <c r="B8" s="46">
        <v>41432</v>
      </c>
      <c r="C8" s="135">
        <v>35479</v>
      </c>
      <c r="D8" s="46">
        <v>3185</v>
      </c>
      <c r="E8" s="135">
        <v>2021</v>
      </c>
      <c r="F8" s="136">
        <v>110</v>
      </c>
      <c r="G8" s="137">
        <v>58</v>
      </c>
      <c r="H8" s="136">
        <v>0</v>
      </c>
      <c r="I8" s="137">
        <v>0</v>
      </c>
      <c r="J8" s="138">
        <f t="shared" si="0"/>
        <v>44727</v>
      </c>
    </row>
    <row r="9" spans="1:10" x14ac:dyDescent="0.25">
      <c r="A9" s="134" t="s">
        <v>18</v>
      </c>
      <c r="B9" s="46">
        <v>4732</v>
      </c>
      <c r="C9" s="135">
        <v>4122</v>
      </c>
      <c r="D9" s="136">
        <v>529</v>
      </c>
      <c r="E9" s="137">
        <v>294</v>
      </c>
      <c r="F9" s="136">
        <v>0</v>
      </c>
      <c r="G9" s="137">
        <v>0</v>
      </c>
      <c r="H9" s="136">
        <v>0</v>
      </c>
      <c r="I9" s="137">
        <v>0</v>
      </c>
      <c r="J9" s="138">
        <f t="shared" si="0"/>
        <v>5261</v>
      </c>
    </row>
    <row r="10" spans="1:10" x14ac:dyDescent="0.25">
      <c r="A10" s="134" t="s">
        <v>19</v>
      </c>
      <c r="B10" s="46">
        <v>1477</v>
      </c>
      <c r="C10" s="137">
        <v>982</v>
      </c>
      <c r="D10" s="136">
        <v>95</v>
      </c>
      <c r="E10" s="137">
        <v>26</v>
      </c>
      <c r="F10" s="46">
        <v>3148</v>
      </c>
      <c r="G10" s="135">
        <v>1679</v>
      </c>
      <c r="H10" s="136">
        <v>0</v>
      </c>
      <c r="I10" s="137">
        <v>0</v>
      </c>
      <c r="J10" s="139">
        <f t="shared" si="0"/>
        <v>4720</v>
      </c>
    </row>
    <row r="11" spans="1:10" ht="15.75" thickBot="1" x14ac:dyDescent="0.3">
      <c r="A11" s="140" t="s">
        <v>20</v>
      </c>
      <c r="B11" s="141">
        <v>13071</v>
      </c>
      <c r="C11" s="142">
        <v>10410</v>
      </c>
      <c r="D11" s="143">
        <v>881</v>
      </c>
      <c r="E11" s="144">
        <v>362</v>
      </c>
      <c r="F11" s="141">
        <v>2915</v>
      </c>
      <c r="G11" s="144">
        <v>143</v>
      </c>
      <c r="H11" s="143">
        <v>239</v>
      </c>
      <c r="I11" s="144">
        <v>19</v>
      </c>
      <c r="J11" s="145">
        <f t="shared" si="0"/>
        <v>17106</v>
      </c>
    </row>
    <row r="12" spans="1:10" ht="15.75" thickBot="1" x14ac:dyDescent="0.3">
      <c r="A12" s="812" t="s">
        <v>25</v>
      </c>
      <c r="B12" s="14"/>
      <c r="C12" s="14"/>
      <c r="D12" s="14"/>
      <c r="E12" s="14"/>
      <c r="F12" s="14"/>
      <c r="G12" s="14"/>
      <c r="H12" s="14"/>
      <c r="I12" s="147" t="s">
        <v>21</v>
      </c>
      <c r="J12" s="148">
        <f>SUM(J5:J11)</f>
        <v>217039</v>
      </c>
    </row>
    <row r="13" spans="1:10" x14ac:dyDescent="0.25">
      <c r="A13" s="128" t="s">
        <v>14</v>
      </c>
      <c r="B13" s="149">
        <f xml:space="preserve"> B5/J12</f>
        <v>3.2270697893005407E-2</v>
      </c>
      <c r="C13" s="150">
        <f xml:space="preserve"> C5/J12</f>
        <v>2.4613087970364773E-2</v>
      </c>
      <c r="D13" s="149">
        <f xml:space="preserve"> D5/J12</f>
        <v>2.3405931652836589E-3</v>
      </c>
      <c r="E13" s="150">
        <f xml:space="preserve"> E5/J12</f>
        <v>1.4283147268463272E-3</v>
      </c>
      <c r="F13" s="149">
        <f xml:space="preserve"> F5/J12</f>
        <v>0</v>
      </c>
      <c r="G13" s="150">
        <f xml:space="preserve"> G5/J12</f>
        <v>0</v>
      </c>
      <c r="H13" s="149">
        <f xml:space="preserve"> H5/J12</f>
        <v>0</v>
      </c>
      <c r="I13" s="150">
        <f xml:space="preserve"> I5/J12</f>
        <v>0</v>
      </c>
      <c r="J13" s="151">
        <f xml:space="preserve"> J5/J12</f>
        <v>3.4611291058289063E-2</v>
      </c>
    </row>
    <row r="14" spans="1:10" x14ac:dyDescent="0.25">
      <c r="A14" s="134" t="s">
        <v>15</v>
      </c>
      <c r="B14" s="152">
        <f xml:space="preserve"> B6/J12</f>
        <v>4.2895516473997759E-2</v>
      </c>
      <c r="C14" s="153">
        <f xml:space="preserve"> C6/J12</f>
        <v>3.7716723722464623E-2</v>
      </c>
      <c r="D14" s="152">
        <f xml:space="preserve"> D6/J12</f>
        <v>7.5654605854247395E-3</v>
      </c>
      <c r="E14" s="153">
        <f xml:space="preserve"> E6/J12</f>
        <v>5.7409037085500766E-3</v>
      </c>
      <c r="F14" s="152">
        <f xml:space="preserve"> F6/J12</f>
        <v>1.5481088652269869E-3</v>
      </c>
      <c r="G14" s="153">
        <f xml:space="preserve"> G6/J12</f>
        <v>5.621109570169416E-4</v>
      </c>
      <c r="H14" s="152">
        <f xml:space="preserve"> H6/J12</f>
        <v>9.6756804076686683E-5</v>
      </c>
      <c r="I14" s="153">
        <f xml:space="preserve"> I6/J12</f>
        <v>4.1467201747151436E-5</v>
      </c>
      <c r="J14" s="154">
        <f xml:space="preserve"> J6/J12</f>
        <v>5.2105842728726176E-2</v>
      </c>
    </row>
    <row r="15" spans="1:10" x14ac:dyDescent="0.25">
      <c r="A15" s="134" t="s">
        <v>16</v>
      </c>
      <c r="B15" s="152">
        <f xml:space="preserve"> B7/J12</f>
        <v>0.42169840443422613</v>
      </c>
      <c r="C15" s="153">
        <f xml:space="preserve"> C7/J12</f>
        <v>0.29658724929620944</v>
      </c>
      <c r="D15" s="152">
        <f xml:space="preserve"> D7/J12</f>
        <v>1.9660061095010575E-2</v>
      </c>
      <c r="E15" s="153">
        <f xml:space="preserve"> E7/J12</f>
        <v>8.7173273006233894E-3</v>
      </c>
      <c r="F15" s="152">
        <f xml:space="preserve"> F7/J12</f>
        <v>0.13900266772331241</v>
      </c>
      <c r="G15" s="153">
        <f xml:space="preserve"> G7/J12</f>
        <v>3.2961817922124596E-2</v>
      </c>
      <c r="H15" s="152">
        <f xml:space="preserve"> H7/J12</f>
        <v>2.0411078193320093E-3</v>
      </c>
      <c r="I15" s="153">
        <f xml:space="preserve"> I7/J12</f>
        <v>2.6262561106529239E-4</v>
      </c>
      <c r="J15" s="154">
        <f xml:space="preserve"> J7/J12</f>
        <v>0.5824022410718811</v>
      </c>
    </row>
    <row r="16" spans="1:10" x14ac:dyDescent="0.25">
      <c r="A16" s="134" t="s">
        <v>17</v>
      </c>
      <c r="B16" s="152">
        <f xml:space="preserve"> B8/J12</f>
        <v>0.19089656697644203</v>
      </c>
      <c r="C16" s="153">
        <f xml:space="preserve"> C8/J12</f>
        <v>0.16346831675413176</v>
      </c>
      <c r="D16" s="152">
        <f xml:space="preserve"> D8/J12</f>
        <v>1.4674781951630814E-2</v>
      </c>
      <c r="E16" s="153">
        <f xml:space="preserve"> E8/J12</f>
        <v>9.3116905256658937E-3</v>
      </c>
      <c r="F16" s="152">
        <f xml:space="preserve"> F8/J12</f>
        <v>5.0682135468740636E-4</v>
      </c>
      <c r="G16" s="153">
        <f xml:space="preserve"> G8/J12</f>
        <v>2.6723307792608699E-4</v>
      </c>
      <c r="H16" s="152">
        <f xml:space="preserve"> H8/J12</f>
        <v>0</v>
      </c>
      <c r="I16" s="153">
        <f xml:space="preserve"> I8/J12</f>
        <v>0</v>
      </c>
      <c r="J16" s="154">
        <f xml:space="preserve"> J8/J12</f>
        <v>0.20607817028276024</v>
      </c>
    </row>
    <row r="17" spans="1:10" x14ac:dyDescent="0.25">
      <c r="A17" s="134" t="s">
        <v>18</v>
      </c>
      <c r="B17" s="152">
        <f xml:space="preserve"> B9/J12</f>
        <v>2.1802533185280065E-2</v>
      </c>
      <c r="C17" s="153">
        <f xml:space="preserve"> C9/J12</f>
        <v>1.8991978400195356E-2</v>
      </c>
      <c r="D17" s="152">
        <f xml:space="preserve"> D9/J12</f>
        <v>2.4373499693603456E-3</v>
      </c>
      <c r="E17" s="153">
        <f xml:space="preserve"> E9/J12</f>
        <v>1.3545952570736136E-3</v>
      </c>
      <c r="F17" s="152">
        <f xml:space="preserve"> F9/J12</f>
        <v>0</v>
      </c>
      <c r="G17" s="153">
        <f xml:space="preserve"> G9/J12</f>
        <v>0</v>
      </c>
      <c r="H17" s="152">
        <f xml:space="preserve"> H9/J12</f>
        <v>0</v>
      </c>
      <c r="I17" s="153">
        <f xml:space="preserve"> I9/J12</f>
        <v>0</v>
      </c>
      <c r="J17" s="154">
        <f xml:space="preserve"> J9/J12</f>
        <v>2.4239883154640412E-2</v>
      </c>
    </row>
    <row r="18" spans="1:10" x14ac:dyDescent="0.25">
      <c r="A18" s="134" t="s">
        <v>19</v>
      </c>
      <c r="B18" s="152">
        <f xml:space="preserve"> B10/J12</f>
        <v>6.8052285533936295E-3</v>
      </c>
      <c r="C18" s="153">
        <f xml:space="preserve"> C10/J12</f>
        <v>4.5245324573003004E-3</v>
      </c>
      <c r="D18" s="152">
        <f xml:space="preserve"> D10/J12</f>
        <v>4.3770935177548737E-4</v>
      </c>
      <c r="E18" s="153">
        <f xml:space="preserve"> E10/J12</f>
        <v>1.197941383806597E-4</v>
      </c>
      <c r="F18" s="152">
        <f xml:space="preserve"> F10/J12</f>
        <v>1.4504305677781413E-2</v>
      </c>
      <c r="G18" s="153">
        <f xml:space="preserve"> G10/J12</f>
        <v>7.7359368592741394E-3</v>
      </c>
      <c r="H18" s="152">
        <f xml:space="preserve"> H10/J12</f>
        <v>0</v>
      </c>
      <c r="I18" s="153">
        <f xml:space="preserve"> I10/J12</f>
        <v>0</v>
      </c>
      <c r="J18" s="154">
        <f xml:space="preserve"> J10/J12</f>
        <v>2.1747243582950531E-2</v>
      </c>
    </row>
    <row r="19" spans="1:10" ht="15.75" thickBot="1" x14ac:dyDescent="0.3">
      <c r="A19" s="140" t="s">
        <v>20</v>
      </c>
      <c r="B19" s="155">
        <f xml:space="preserve"> B11/J12</f>
        <v>6.0224199337446264E-2</v>
      </c>
      <c r="C19" s="156">
        <f xml:space="preserve"> C11/J12</f>
        <v>4.7963730020871828E-2</v>
      </c>
      <c r="D19" s="155">
        <f xml:space="preserve"> D11/J12</f>
        <v>4.0591783043600459E-3</v>
      </c>
      <c r="E19" s="156">
        <f xml:space="preserve"> E11/J12</f>
        <v>1.6679030036076466E-3</v>
      </c>
      <c r="F19" s="155">
        <f xml:space="preserve"> F11/J12</f>
        <v>1.343076589921627E-2</v>
      </c>
      <c r="G19" s="156">
        <f xml:space="preserve"> G11/J12</f>
        <v>6.5886776109362838E-4</v>
      </c>
      <c r="H19" s="155">
        <f xml:space="preserve"> H11/J12</f>
        <v>1.1011845797299102E-3</v>
      </c>
      <c r="I19" s="156">
        <f xml:space="preserve"> I11/J12</f>
        <v>8.7541870355097476E-5</v>
      </c>
      <c r="J19" s="157">
        <f xml:space="preserve"> J11/J12</f>
        <v>7.8815328120752495E-2</v>
      </c>
    </row>
    <row r="20" spans="1:10" x14ac:dyDescent="0.25">
      <c r="J20" s="15"/>
    </row>
    <row r="21" spans="1:10" x14ac:dyDescent="0.25">
      <c r="J21" s="29" t="s">
        <v>28</v>
      </c>
    </row>
  </sheetData>
  <mergeCells count="8">
    <mergeCell ref="J2:J4"/>
    <mergeCell ref="A1:J1"/>
    <mergeCell ref="F2:I2"/>
    <mergeCell ref="B2:E2"/>
    <mergeCell ref="B3:C3"/>
    <mergeCell ref="D3:E3"/>
    <mergeCell ref="F3:G3"/>
    <mergeCell ref="H3:I3"/>
  </mergeCells>
  <phoneticPr fontId="49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selection activeCell="E5" sqref="E5"/>
    </sheetView>
  </sheetViews>
  <sheetFormatPr defaultRowHeight="15" x14ac:dyDescent="0.25"/>
  <cols>
    <col min="1" max="1" width="17.5703125" bestFit="1" customWidth="1"/>
    <col min="2" max="6" width="9.28515625" customWidth="1"/>
    <col min="7" max="7" width="10.42578125" customWidth="1"/>
    <col min="8" max="8" width="9.28515625" customWidth="1"/>
    <col min="9" max="9" width="10.5703125" bestFit="1" customWidth="1"/>
    <col min="11" max="11" width="10.5703125" customWidth="1"/>
  </cols>
  <sheetData>
    <row r="1" spans="1:12" ht="47.25" customHeight="1" thickBot="1" x14ac:dyDescent="0.4">
      <c r="A1" s="956" t="s">
        <v>182</v>
      </c>
      <c r="B1" s="956"/>
      <c r="C1" s="956"/>
      <c r="D1" s="956"/>
      <c r="E1" s="956"/>
      <c r="F1" s="956"/>
      <c r="G1" s="956"/>
      <c r="H1" s="956"/>
      <c r="I1" s="30"/>
    </row>
    <row r="2" spans="1:12" ht="15" customHeight="1" x14ac:dyDescent="0.25">
      <c r="A2" s="181" t="s">
        <v>55</v>
      </c>
      <c r="B2" s="959" t="s">
        <v>57</v>
      </c>
      <c r="C2" s="960"/>
      <c r="D2" s="954" t="s">
        <v>6</v>
      </c>
      <c r="E2" s="955"/>
      <c r="F2" s="961" t="s">
        <v>21</v>
      </c>
      <c r="G2" s="957" t="s">
        <v>101</v>
      </c>
      <c r="H2" s="963" t="s">
        <v>98</v>
      </c>
    </row>
    <row r="3" spans="1:12" ht="15.75" thickBot="1" x14ac:dyDescent="0.3">
      <c r="A3" s="182" t="s">
        <v>56</v>
      </c>
      <c r="B3" s="183" t="s">
        <v>12</v>
      </c>
      <c r="C3" s="184" t="s">
        <v>13</v>
      </c>
      <c r="D3" s="183" t="s">
        <v>12</v>
      </c>
      <c r="E3" s="184" t="s">
        <v>13</v>
      </c>
      <c r="F3" s="962"/>
      <c r="G3" s="958"/>
      <c r="H3" s="964"/>
    </row>
    <row r="4" spans="1:12" x14ac:dyDescent="0.25">
      <c r="A4" s="186" t="s">
        <v>29</v>
      </c>
      <c r="B4" s="187">
        <v>20453</v>
      </c>
      <c r="C4" s="188">
        <v>4484</v>
      </c>
      <c r="D4" s="187">
        <v>1558</v>
      </c>
      <c r="E4" s="188">
        <v>1066</v>
      </c>
      <c r="F4" s="189">
        <f t="shared" ref="F4:F33" si="0" xml:space="preserve"> B4+C4+D4+E4</f>
        <v>27561</v>
      </c>
      <c r="G4" s="190">
        <f xml:space="preserve"> F4/F34</f>
        <v>0.12698639415036006</v>
      </c>
      <c r="H4" s="191">
        <v>2051</v>
      </c>
      <c r="I4" s="44"/>
      <c r="J4" s="44"/>
      <c r="K4" s="44"/>
      <c r="L4" s="44"/>
    </row>
    <row r="5" spans="1:12" x14ac:dyDescent="0.25">
      <c r="A5" s="192" t="s">
        <v>30</v>
      </c>
      <c r="B5" s="46">
        <v>15932</v>
      </c>
      <c r="C5" s="193">
        <v>470</v>
      </c>
      <c r="D5" s="46">
        <v>1156</v>
      </c>
      <c r="E5" s="193">
        <v>584</v>
      </c>
      <c r="F5" s="194">
        <f t="shared" si="0"/>
        <v>18142</v>
      </c>
      <c r="G5" s="195">
        <f xml:space="preserve"> F5/F34</f>
        <v>8.3588663788535703E-2</v>
      </c>
      <c r="H5" s="196">
        <v>445</v>
      </c>
      <c r="I5" s="44"/>
      <c r="J5" s="44"/>
      <c r="K5" s="44"/>
    </row>
    <row r="6" spans="1:12" x14ac:dyDescent="0.25">
      <c r="A6" s="192" t="s">
        <v>31</v>
      </c>
      <c r="B6" s="46">
        <v>12519</v>
      </c>
      <c r="C6" s="135">
        <v>3087</v>
      </c>
      <c r="D6" s="10">
        <v>554</v>
      </c>
      <c r="E6" s="193">
        <v>470</v>
      </c>
      <c r="F6" s="194">
        <f t="shared" si="0"/>
        <v>16630</v>
      </c>
      <c r="G6" s="195">
        <f xml:space="preserve"> F6/F34</f>
        <v>7.6622173895014259E-2</v>
      </c>
      <c r="H6" s="196">
        <v>137</v>
      </c>
      <c r="I6" s="44"/>
      <c r="J6" s="44"/>
      <c r="K6" s="44"/>
    </row>
    <row r="7" spans="1:12" x14ac:dyDescent="0.25">
      <c r="A7" s="192" t="s">
        <v>32</v>
      </c>
      <c r="B7" s="46">
        <v>2002</v>
      </c>
      <c r="C7" s="135">
        <v>11327</v>
      </c>
      <c r="D7" s="10">
        <v>37</v>
      </c>
      <c r="E7" s="193">
        <v>386</v>
      </c>
      <c r="F7" s="194">
        <f t="shared" si="0"/>
        <v>13752</v>
      </c>
      <c r="G7" s="195">
        <f xml:space="preserve"> F7/F34</f>
        <v>6.3361884269647395E-2</v>
      </c>
      <c r="H7" s="196">
        <v>2007</v>
      </c>
      <c r="I7" s="44"/>
      <c r="J7" s="44"/>
      <c r="K7" s="44"/>
    </row>
    <row r="8" spans="1:12" x14ac:dyDescent="0.25">
      <c r="A8" s="192" t="s">
        <v>33</v>
      </c>
      <c r="B8" s="46">
        <v>9850</v>
      </c>
      <c r="C8" s="135">
        <v>2393</v>
      </c>
      <c r="D8" s="10">
        <v>262</v>
      </c>
      <c r="E8" s="193">
        <v>324</v>
      </c>
      <c r="F8" s="134">
        <f t="shared" si="0"/>
        <v>12829</v>
      </c>
      <c r="G8" s="195">
        <f xml:space="preserve"> F8/F34</f>
        <v>5.9109192357133973E-2</v>
      </c>
      <c r="H8" s="196">
        <v>132</v>
      </c>
      <c r="I8" s="44"/>
      <c r="J8" s="44"/>
      <c r="K8" s="44"/>
    </row>
    <row r="9" spans="1:12" x14ac:dyDescent="0.25">
      <c r="A9" s="192" t="s">
        <v>34</v>
      </c>
      <c r="B9" s="46">
        <v>7679</v>
      </c>
      <c r="C9" s="135">
        <v>4355</v>
      </c>
      <c r="D9" s="10">
        <v>252</v>
      </c>
      <c r="E9" s="193">
        <v>211</v>
      </c>
      <c r="F9" s="134">
        <f t="shared" si="0"/>
        <v>12497</v>
      </c>
      <c r="G9" s="195">
        <f xml:space="preserve"> F9/F34</f>
        <v>5.757951335935016E-2</v>
      </c>
      <c r="H9" s="196">
        <v>100</v>
      </c>
      <c r="I9" s="44"/>
      <c r="J9" s="44"/>
      <c r="K9" s="44"/>
    </row>
    <row r="10" spans="1:12" x14ac:dyDescent="0.25">
      <c r="A10" s="192" t="s">
        <v>35</v>
      </c>
      <c r="B10" s="46">
        <v>8036</v>
      </c>
      <c r="C10" s="135">
        <v>3810</v>
      </c>
      <c r="D10" s="10">
        <v>242</v>
      </c>
      <c r="E10" s="193">
        <v>277</v>
      </c>
      <c r="F10" s="134">
        <f t="shared" si="0"/>
        <v>12365</v>
      </c>
      <c r="G10" s="195">
        <f xml:space="preserve"> F10/F34</f>
        <v>5.6971327733725277E-2</v>
      </c>
      <c r="H10" s="196">
        <v>148</v>
      </c>
      <c r="I10" s="44"/>
      <c r="J10" s="44"/>
      <c r="K10" s="44"/>
    </row>
    <row r="11" spans="1:12" x14ac:dyDescent="0.25">
      <c r="A11" s="192" t="s">
        <v>36</v>
      </c>
      <c r="B11" s="46">
        <v>8910</v>
      </c>
      <c r="C11" s="135">
        <v>2198</v>
      </c>
      <c r="D11" s="10">
        <v>393</v>
      </c>
      <c r="E11" s="193">
        <v>260</v>
      </c>
      <c r="F11" s="134">
        <f t="shared" si="0"/>
        <v>11761</v>
      </c>
      <c r="G11" s="195">
        <f xml:space="preserve"> F11/F34</f>
        <v>5.4188417749805332E-2</v>
      </c>
      <c r="H11" s="196">
        <v>160</v>
      </c>
      <c r="I11" s="44"/>
      <c r="J11" s="44"/>
      <c r="K11" s="44"/>
    </row>
    <row r="12" spans="1:12" x14ac:dyDescent="0.25">
      <c r="A12" s="192" t="s">
        <v>37</v>
      </c>
      <c r="B12" s="46">
        <v>6851</v>
      </c>
      <c r="C12" s="135">
        <v>3157</v>
      </c>
      <c r="D12" s="10">
        <v>205</v>
      </c>
      <c r="E12" s="193">
        <v>367</v>
      </c>
      <c r="F12" s="134">
        <f t="shared" si="0"/>
        <v>10580</v>
      </c>
      <c r="G12" s="195">
        <f xml:space="preserve"> F12/F34</f>
        <v>4.8746999387206905E-2</v>
      </c>
      <c r="H12" s="196">
        <v>146</v>
      </c>
      <c r="I12" s="44"/>
      <c r="J12" s="44"/>
      <c r="K12" s="44"/>
    </row>
    <row r="13" spans="1:12" x14ac:dyDescent="0.25">
      <c r="A13" s="192" t="s">
        <v>38</v>
      </c>
      <c r="B13" s="46">
        <v>6825</v>
      </c>
      <c r="C13" s="135">
        <v>2696</v>
      </c>
      <c r="D13" s="10">
        <v>258</v>
      </c>
      <c r="E13" s="193">
        <v>191</v>
      </c>
      <c r="F13" s="134">
        <f t="shared" si="0"/>
        <v>9970</v>
      </c>
      <c r="G13" s="195">
        <f xml:space="preserve"> F13/F34</f>
        <v>4.5936444602122199E-2</v>
      </c>
      <c r="H13" s="196">
        <v>102</v>
      </c>
      <c r="I13" s="44"/>
      <c r="J13" s="44"/>
      <c r="K13" s="44"/>
    </row>
    <row r="14" spans="1:12" x14ac:dyDescent="0.25">
      <c r="A14" s="192" t="s">
        <v>39</v>
      </c>
      <c r="B14" s="46">
        <v>7103</v>
      </c>
      <c r="C14" s="135">
        <v>1023</v>
      </c>
      <c r="D14" s="10">
        <v>320</v>
      </c>
      <c r="E14" s="193">
        <v>270</v>
      </c>
      <c r="F14" s="134">
        <f t="shared" si="0"/>
        <v>8716</v>
      </c>
      <c r="G14" s="195">
        <f xml:space="preserve"> F14/F34</f>
        <v>4.0158681158685768E-2</v>
      </c>
      <c r="H14" s="196">
        <v>352</v>
      </c>
      <c r="I14" s="44"/>
      <c r="J14" s="44"/>
      <c r="K14" s="44"/>
    </row>
    <row r="15" spans="1:12" x14ac:dyDescent="0.25">
      <c r="A15" s="192" t="s">
        <v>40</v>
      </c>
      <c r="B15" s="46">
        <v>4396</v>
      </c>
      <c r="C15" s="135">
        <v>2619</v>
      </c>
      <c r="D15" s="10">
        <v>188</v>
      </c>
      <c r="E15" s="193">
        <v>286</v>
      </c>
      <c r="F15" s="134">
        <f t="shared" ref="F15:F20" si="1" xml:space="preserve"> B15+C15+D15+E15</f>
        <v>7489</v>
      </c>
      <c r="G15" s="195">
        <f xml:space="preserve"> F15/F34</f>
        <v>3.4505319320490786E-2</v>
      </c>
      <c r="H15" s="196">
        <v>75</v>
      </c>
      <c r="I15" s="44"/>
      <c r="J15" s="44"/>
      <c r="K15" s="44"/>
    </row>
    <row r="16" spans="1:12" x14ac:dyDescent="0.25">
      <c r="A16" s="192" t="s">
        <v>41</v>
      </c>
      <c r="B16" s="46">
        <v>3827</v>
      </c>
      <c r="C16" s="135">
        <v>3105</v>
      </c>
      <c r="D16" s="10">
        <v>169</v>
      </c>
      <c r="E16" s="193">
        <v>259</v>
      </c>
      <c r="F16" s="134">
        <f t="shared" si="1"/>
        <v>7360</v>
      </c>
      <c r="G16" s="195">
        <f xml:space="preserve"> F16/F34</f>
        <v>3.391095609544828E-2</v>
      </c>
      <c r="H16" s="196">
        <v>118</v>
      </c>
      <c r="I16" s="44"/>
      <c r="J16" s="44"/>
      <c r="K16" s="44"/>
    </row>
    <row r="17" spans="1:11" x14ac:dyDescent="0.25">
      <c r="A17" s="192" t="s">
        <v>42</v>
      </c>
      <c r="B17" s="46">
        <v>4576</v>
      </c>
      <c r="C17" s="135">
        <v>1236</v>
      </c>
      <c r="D17" s="10">
        <v>77</v>
      </c>
      <c r="E17" s="193">
        <v>61</v>
      </c>
      <c r="F17" s="134">
        <f t="shared" si="1"/>
        <v>5950</v>
      </c>
      <c r="G17" s="195">
        <f xml:space="preserve"> F17/F34</f>
        <v>2.7414427821727892E-2</v>
      </c>
      <c r="H17" s="196">
        <v>40</v>
      </c>
      <c r="I17" s="44"/>
      <c r="J17" s="44"/>
      <c r="K17" s="44"/>
    </row>
    <row r="18" spans="1:11" x14ac:dyDescent="0.25">
      <c r="A18" s="192" t="s">
        <v>593</v>
      </c>
      <c r="B18" s="46">
        <v>3178</v>
      </c>
      <c r="C18" s="135">
        <v>2465</v>
      </c>
      <c r="D18" s="10">
        <v>84</v>
      </c>
      <c r="E18" s="193">
        <v>26</v>
      </c>
      <c r="F18" s="134">
        <f t="shared" si="1"/>
        <v>5753</v>
      </c>
      <c r="G18" s="195">
        <f xml:space="preserve"> F18/F34</f>
        <v>2.6506756850151355E-2</v>
      </c>
      <c r="H18" s="196">
        <v>238</v>
      </c>
      <c r="I18" s="44"/>
      <c r="J18" s="44"/>
      <c r="K18" s="44"/>
    </row>
    <row r="19" spans="1:11" x14ac:dyDescent="0.25">
      <c r="A19" s="192" t="s">
        <v>44</v>
      </c>
      <c r="B19" s="46">
        <v>3356</v>
      </c>
      <c r="C19" s="135">
        <v>1596</v>
      </c>
      <c r="D19" s="10">
        <v>153</v>
      </c>
      <c r="E19" s="193">
        <v>127</v>
      </c>
      <c r="F19" s="134">
        <f t="shared" si="1"/>
        <v>5232</v>
      </c>
      <c r="G19" s="195">
        <f xml:space="preserve"> F19/F34</f>
        <v>2.4106266615677368E-2</v>
      </c>
      <c r="H19" s="196">
        <v>163</v>
      </c>
      <c r="I19" s="44"/>
      <c r="J19" s="44"/>
      <c r="K19" s="44"/>
    </row>
    <row r="20" spans="1:11" x14ac:dyDescent="0.25">
      <c r="A20" s="192" t="s">
        <v>177</v>
      </c>
      <c r="B20" s="46">
        <v>2197</v>
      </c>
      <c r="C20" s="135">
        <v>2414</v>
      </c>
      <c r="D20" s="10">
        <v>38</v>
      </c>
      <c r="E20" s="193">
        <v>169</v>
      </c>
      <c r="F20" s="134">
        <f t="shared" si="1"/>
        <v>4818</v>
      </c>
      <c r="G20" s="195">
        <f xml:space="preserve"> F20/F34</f>
        <v>2.21987753353084E-2</v>
      </c>
      <c r="H20" s="134">
        <v>604</v>
      </c>
      <c r="I20" s="44"/>
      <c r="J20" s="44"/>
      <c r="K20" s="44"/>
    </row>
    <row r="21" spans="1:11" x14ac:dyDescent="0.25">
      <c r="A21" s="192" t="s">
        <v>45</v>
      </c>
      <c r="B21" s="10">
        <v>0</v>
      </c>
      <c r="C21" s="135">
        <v>4568</v>
      </c>
      <c r="D21" s="10">
        <v>0</v>
      </c>
      <c r="E21" s="193">
        <v>0</v>
      </c>
      <c r="F21" s="134">
        <f t="shared" si="0"/>
        <v>4568</v>
      </c>
      <c r="G21" s="195">
        <f xml:space="preserve"> F21/F34</f>
        <v>2.1046908620109751E-2</v>
      </c>
      <c r="H21" s="196">
        <v>979</v>
      </c>
      <c r="I21" s="44"/>
      <c r="J21" s="44"/>
      <c r="K21" s="44"/>
    </row>
    <row r="22" spans="1:11" x14ac:dyDescent="0.25">
      <c r="A22" s="192" t="s">
        <v>43</v>
      </c>
      <c r="B22" s="10">
        <v>558</v>
      </c>
      <c r="C22" s="135">
        <v>3772</v>
      </c>
      <c r="D22" s="10">
        <v>0</v>
      </c>
      <c r="E22" s="193">
        <v>0</v>
      </c>
      <c r="F22" s="134">
        <f t="shared" si="0"/>
        <v>4330</v>
      </c>
      <c r="G22" s="195">
        <f xml:space="preserve"> F22/F34</f>
        <v>1.9950331507240633E-2</v>
      </c>
      <c r="H22" s="134">
        <v>43</v>
      </c>
      <c r="I22" s="44"/>
      <c r="J22" s="44"/>
      <c r="K22" s="44"/>
    </row>
    <row r="23" spans="1:11" x14ac:dyDescent="0.25">
      <c r="A23" s="192" t="s">
        <v>47</v>
      </c>
      <c r="B23" s="10">
        <v>699</v>
      </c>
      <c r="C23" s="135">
        <v>2523</v>
      </c>
      <c r="D23" s="10">
        <v>0</v>
      </c>
      <c r="E23" s="193">
        <v>40</v>
      </c>
      <c r="F23" s="134">
        <f xml:space="preserve"> B23+C23+D23+E23</f>
        <v>3262</v>
      </c>
      <c r="G23" s="195">
        <f xml:space="preserve"> F23/F34</f>
        <v>1.5029556899911997E-2</v>
      </c>
      <c r="H23" s="134">
        <v>248</v>
      </c>
      <c r="I23" s="44"/>
      <c r="J23" s="44"/>
      <c r="K23" s="44"/>
    </row>
    <row r="24" spans="1:11" x14ac:dyDescent="0.25">
      <c r="A24" s="192" t="s">
        <v>46</v>
      </c>
      <c r="B24" s="46">
        <v>1679</v>
      </c>
      <c r="C24" s="135">
        <v>1469</v>
      </c>
      <c r="D24" s="10">
        <v>0</v>
      </c>
      <c r="E24" s="193">
        <v>0</v>
      </c>
      <c r="F24" s="134">
        <f t="shared" si="0"/>
        <v>3148</v>
      </c>
      <c r="G24" s="195">
        <f xml:space="preserve"> F24/F34</f>
        <v>1.4504305677781413E-2</v>
      </c>
      <c r="H24" s="134">
        <v>2</v>
      </c>
      <c r="I24" s="44"/>
      <c r="J24" s="44"/>
      <c r="K24" s="44"/>
    </row>
    <row r="25" spans="1:11" x14ac:dyDescent="0.25">
      <c r="A25" s="192" t="s">
        <v>48</v>
      </c>
      <c r="B25" s="46">
        <v>1555</v>
      </c>
      <c r="C25" s="193">
        <v>838</v>
      </c>
      <c r="D25" s="10">
        <v>9</v>
      </c>
      <c r="E25" s="193">
        <v>6</v>
      </c>
      <c r="F25" s="134">
        <f t="shared" si="0"/>
        <v>2408</v>
      </c>
      <c r="G25" s="195">
        <f xml:space="preserve"> F25/F34</f>
        <v>1.1094780200793406E-2</v>
      </c>
      <c r="H25" s="134">
        <v>50</v>
      </c>
      <c r="I25" s="44"/>
      <c r="J25" s="44"/>
      <c r="K25" s="44"/>
    </row>
    <row r="26" spans="1:11" x14ac:dyDescent="0.25">
      <c r="A26" s="192" t="s">
        <v>181</v>
      </c>
      <c r="B26" s="46">
        <v>1719</v>
      </c>
      <c r="C26" s="193">
        <v>127</v>
      </c>
      <c r="D26" s="10">
        <v>114</v>
      </c>
      <c r="E26" s="193">
        <v>47</v>
      </c>
      <c r="F26" s="134">
        <f t="shared" si="0"/>
        <v>2007</v>
      </c>
      <c r="G26" s="195">
        <f xml:space="preserve"> F26/F34</f>
        <v>9.2471859896147701E-3</v>
      </c>
      <c r="H26" s="134">
        <v>175</v>
      </c>
      <c r="I26" s="44"/>
      <c r="J26" s="44"/>
      <c r="K26" s="44"/>
    </row>
    <row r="27" spans="1:11" x14ac:dyDescent="0.25">
      <c r="A27" s="192" t="s">
        <v>60</v>
      </c>
      <c r="B27" s="46">
        <v>1046</v>
      </c>
      <c r="C27" s="193">
        <v>331</v>
      </c>
      <c r="D27" s="10">
        <v>1</v>
      </c>
      <c r="E27" s="193">
        <v>11</v>
      </c>
      <c r="F27" s="134">
        <f t="shared" si="0"/>
        <v>1389</v>
      </c>
      <c r="G27" s="195">
        <f xml:space="preserve"> F27/F34</f>
        <v>6.3997714696437044E-3</v>
      </c>
      <c r="H27" s="134">
        <v>41</v>
      </c>
      <c r="I27" s="44"/>
      <c r="J27" s="44"/>
      <c r="K27" s="44"/>
    </row>
    <row r="28" spans="1:11" x14ac:dyDescent="0.25">
      <c r="A28" s="192" t="s">
        <v>50</v>
      </c>
      <c r="B28" s="10">
        <v>437</v>
      </c>
      <c r="C28" s="193">
        <v>669</v>
      </c>
      <c r="D28" s="10">
        <v>9</v>
      </c>
      <c r="E28" s="193">
        <v>12</v>
      </c>
      <c r="F28" s="134">
        <f xml:space="preserve"> B28+C28+D28+E28</f>
        <v>1127</v>
      </c>
      <c r="G28" s="195">
        <f xml:space="preserve"> F28/F34</f>
        <v>5.1926151521155183E-3</v>
      </c>
      <c r="H28" s="134">
        <v>18</v>
      </c>
      <c r="I28" s="44"/>
      <c r="J28" s="44"/>
      <c r="K28" s="44"/>
    </row>
    <row r="29" spans="1:11" x14ac:dyDescent="0.25">
      <c r="A29" s="192" t="s">
        <v>49</v>
      </c>
      <c r="B29" s="10">
        <v>962</v>
      </c>
      <c r="C29" s="193">
        <v>0</v>
      </c>
      <c r="D29" s="10">
        <v>63</v>
      </c>
      <c r="E29" s="193">
        <v>57</v>
      </c>
      <c r="F29" s="134">
        <f t="shared" si="0"/>
        <v>1082</v>
      </c>
      <c r="G29" s="195">
        <f xml:space="preserve"> F29/F34</f>
        <v>4.9852791433797616E-3</v>
      </c>
      <c r="H29" s="134">
        <v>105</v>
      </c>
      <c r="I29" s="44"/>
      <c r="J29" s="44"/>
      <c r="K29" s="44"/>
    </row>
    <row r="30" spans="1:11" x14ac:dyDescent="0.25">
      <c r="A30" s="192" t="s">
        <v>51</v>
      </c>
      <c r="B30" s="10">
        <v>480</v>
      </c>
      <c r="C30" s="193">
        <v>449</v>
      </c>
      <c r="D30" s="10">
        <v>0</v>
      </c>
      <c r="E30" s="193">
        <v>0</v>
      </c>
      <c r="F30" s="134">
        <f t="shared" si="0"/>
        <v>929</v>
      </c>
      <c r="G30" s="195">
        <f xml:space="preserve"> F30/F34</f>
        <v>4.2803367136781869E-3</v>
      </c>
      <c r="H30" s="134">
        <v>73</v>
      </c>
      <c r="I30" s="44"/>
      <c r="J30" s="44"/>
      <c r="K30" s="44"/>
    </row>
    <row r="31" spans="1:11" x14ac:dyDescent="0.25">
      <c r="A31" s="192" t="s">
        <v>52</v>
      </c>
      <c r="B31" s="10">
        <v>605</v>
      </c>
      <c r="C31" s="193">
        <v>0</v>
      </c>
      <c r="D31" s="10">
        <v>64</v>
      </c>
      <c r="E31" s="193">
        <v>28</v>
      </c>
      <c r="F31" s="134">
        <f t="shared" si="0"/>
        <v>697</v>
      </c>
      <c r="G31" s="195">
        <f xml:space="preserve"> F31/F34</f>
        <v>3.2114044019738389E-3</v>
      </c>
      <c r="H31" s="134">
        <v>81</v>
      </c>
      <c r="I31" s="44"/>
      <c r="J31" s="44"/>
      <c r="K31" s="44"/>
    </row>
    <row r="32" spans="1:11" x14ac:dyDescent="0.25">
      <c r="A32" s="197" t="s">
        <v>53</v>
      </c>
      <c r="B32" s="10">
        <v>560</v>
      </c>
      <c r="C32" s="193">
        <v>0</v>
      </c>
      <c r="D32" s="10">
        <v>30</v>
      </c>
      <c r="E32" s="193">
        <v>39</v>
      </c>
      <c r="F32" s="134">
        <f t="shared" si="0"/>
        <v>629</v>
      </c>
      <c r="G32" s="195">
        <f xml:space="preserve"> F32/F34</f>
        <v>2.8980966554398059E-3</v>
      </c>
      <c r="H32" s="134">
        <v>40</v>
      </c>
      <c r="I32" s="44"/>
      <c r="J32" s="44"/>
      <c r="K32" s="44"/>
    </row>
    <row r="33" spans="1:11" ht="15.75" thickBot="1" x14ac:dyDescent="0.3">
      <c r="A33" s="198" t="s">
        <v>54</v>
      </c>
      <c r="B33" s="199">
        <v>58</v>
      </c>
      <c r="C33" s="200">
        <v>0</v>
      </c>
      <c r="D33" s="201">
        <v>0</v>
      </c>
      <c r="E33" s="202">
        <v>0</v>
      </c>
      <c r="F33" s="203">
        <f t="shared" si="0"/>
        <v>58</v>
      </c>
      <c r="G33" s="204">
        <f xml:space="preserve"> F33/F34</f>
        <v>2.6723307792608699E-4</v>
      </c>
      <c r="H33" s="203">
        <v>1</v>
      </c>
      <c r="I33" s="44"/>
      <c r="J33" s="44"/>
      <c r="K33" s="44"/>
    </row>
    <row r="34" spans="1:11" ht="15.75" thickBot="1" x14ac:dyDescent="0.3">
      <c r="A34" s="205" t="s">
        <v>8</v>
      </c>
      <c r="B34" s="171">
        <f t="shared" ref="B34:H34" si="2">SUM(B4:B33)</f>
        <v>138048</v>
      </c>
      <c r="C34" s="206">
        <f t="shared" si="2"/>
        <v>67181</v>
      </c>
      <c r="D34" s="207">
        <f t="shared" si="2"/>
        <v>6236</v>
      </c>
      <c r="E34" s="208">
        <f t="shared" si="2"/>
        <v>5574</v>
      </c>
      <c r="F34" s="209">
        <f t="shared" si="2"/>
        <v>217039</v>
      </c>
      <c r="G34" s="210">
        <f t="shared" si="2"/>
        <v>1.0000000000000002</v>
      </c>
      <c r="H34" s="211">
        <f t="shared" si="2"/>
        <v>8874</v>
      </c>
      <c r="I34" s="44"/>
      <c r="J34" s="44"/>
      <c r="K34" s="44"/>
    </row>
    <row r="35" spans="1:11" ht="15.75" thickBot="1" x14ac:dyDescent="0.3">
      <c r="A35" s="118"/>
      <c r="B35" s="212">
        <f xml:space="preserve"> B34/F34</f>
        <v>0.63605158519897342</v>
      </c>
      <c r="C35" s="213">
        <f xml:space="preserve"> C34/F34</f>
        <v>0.30953423117504225</v>
      </c>
      <c r="D35" s="214">
        <f xml:space="preserve"> D34/F34</f>
        <v>2.8732163343915148E-2</v>
      </c>
      <c r="E35" s="215">
        <f xml:space="preserve"> E34/F34</f>
        <v>2.5682020282069121E-2</v>
      </c>
      <c r="F35" s="216">
        <v>1</v>
      </c>
      <c r="G35" s="118"/>
      <c r="H35" s="118"/>
    </row>
    <row r="36" spans="1:11" x14ac:dyDescent="0.25">
      <c r="H36" s="29" t="s">
        <v>28</v>
      </c>
    </row>
  </sheetData>
  <mergeCells count="6">
    <mergeCell ref="A1:H1"/>
    <mergeCell ref="G2:G3"/>
    <mergeCell ref="B2:C2"/>
    <mergeCell ref="D2:E2"/>
    <mergeCell ref="F2:F3"/>
    <mergeCell ref="H2:H3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workbookViewId="0">
      <selection activeCell="J24" sqref="J24"/>
    </sheetView>
  </sheetViews>
  <sheetFormatPr defaultRowHeight="15" x14ac:dyDescent="0.25"/>
  <cols>
    <col min="1" max="1" width="44.140625" bestFit="1" customWidth="1"/>
    <col min="2" max="10" width="9.5703125" customWidth="1"/>
  </cols>
  <sheetData>
    <row r="1" spans="1:10" ht="47.25" customHeight="1" thickBot="1" x14ac:dyDescent="0.3">
      <c r="A1" s="965" t="s">
        <v>141</v>
      </c>
      <c r="B1" s="965"/>
      <c r="C1" s="965"/>
      <c r="D1" s="965"/>
      <c r="E1" s="965"/>
      <c r="F1" s="965"/>
      <c r="G1" s="965"/>
      <c r="H1" s="965"/>
      <c r="I1" s="965"/>
      <c r="J1" s="965"/>
    </row>
    <row r="2" spans="1:10" ht="15.75" thickBot="1" x14ac:dyDescent="0.3">
      <c r="A2" s="123" t="s">
        <v>22</v>
      </c>
      <c r="B2" s="951" t="s">
        <v>99</v>
      </c>
      <c r="C2" s="952"/>
      <c r="D2" s="952"/>
      <c r="E2" s="953"/>
      <c r="F2" s="951" t="s">
        <v>100</v>
      </c>
      <c r="G2" s="952"/>
      <c r="H2" s="952"/>
      <c r="I2" s="953"/>
      <c r="J2" s="947" t="s">
        <v>21</v>
      </c>
    </row>
    <row r="3" spans="1:10" x14ac:dyDescent="0.25">
      <c r="A3" s="124" t="s">
        <v>102</v>
      </c>
      <c r="B3" s="954" t="s">
        <v>57</v>
      </c>
      <c r="C3" s="955"/>
      <c r="D3" s="954" t="s">
        <v>6</v>
      </c>
      <c r="E3" s="955"/>
      <c r="F3" s="954" t="s">
        <v>57</v>
      </c>
      <c r="G3" s="955"/>
      <c r="H3" s="954" t="s">
        <v>6</v>
      </c>
      <c r="I3" s="955"/>
      <c r="J3" s="948"/>
    </row>
    <row r="4" spans="1:10" ht="30.75" thickBot="1" x14ac:dyDescent="0.3">
      <c r="A4" s="125" t="s">
        <v>24</v>
      </c>
      <c r="B4" s="126" t="s">
        <v>26</v>
      </c>
      <c r="C4" s="127" t="s">
        <v>27</v>
      </c>
      <c r="D4" s="126" t="s">
        <v>26</v>
      </c>
      <c r="E4" s="127" t="s">
        <v>27</v>
      </c>
      <c r="F4" s="126" t="s">
        <v>26</v>
      </c>
      <c r="G4" s="127" t="s">
        <v>27</v>
      </c>
      <c r="H4" s="126" t="s">
        <v>26</v>
      </c>
      <c r="I4" s="127" t="s">
        <v>27</v>
      </c>
      <c r="J4" s="949"/>
    </row>
    <row r="5" spans="1:10" x14ac:dyDescent="0.25">
      <c r="A5" s="128" t="s">
        <v>14</v>
      </c>
      <c r="B5" s="129">
        <v>2089</v>
      </c>
      <c r="C5" s="130">
        <v>1532</v>
      </c>
      <c r="D5" s="217">
        <v>163</v>
      </c>
      <c r="E5" s="218">
        <v>69</v>
      </c>
      <c r="F5" s="218">
        <v>0</v>
      </c>
      <c r="G5" s="218">
        <v>0</v>
      </c>
      <c r="H5" s="218">
        <v>0</v>
      </c>
      <c r="I5" s="130">
        <v>0</v>
      </c>
      <c r="J5" s="219">
        <f>+B5+D5+F5+H5</f>
        <v>2252</v>
      </c>
    </row>
    <row r="6" spans="1:10" x14ac:dyDescent="0.25">
      <c r="A6" s="134" t="s">
        <v>15</v>
      </c>
      <c r="B6" s="46">
        <v>3162</v>
      </c>
      <c r="C6" s="135">
        <v>2728</v>
      </c>
      <c r="D6" s="47">
        <v>410</v>
      </c>
      <c r="E6" s="220">
        <v>196</v>
      </c>
      <c r="F6" s="220">
        <v>73</v>
      </c>
      <c r="G6" s="220">
        <v>28</v>
      </c>
      <c r="H6" s="220">
        <v>0</v>
      </c>
      <c r="I6" s="135">
        <v>0</v>
      </c>
      <c r="J6" s="194">
        <f t="shared" ref="J6:J11" si="0">+B6+D6+F6+H6</f>
        <v>3645</v>
      </c>
    </row>
    <row r="7" spans="1:10" x14ac:dyDescent="0.25">
      <c r="A7" s="134" t="s">
        <v>16</v>
      </c>
      <c r="B7" s="46">
        <v>34759</v>
      </c>
      <c r="C7" s="135">
        <v>24087</v>
      </c>
      <c r="D7" s="47">
        <v>1019</v>
      </c>
      <c r="E7" s="220">
        <v>311</v>
      </c>
      <c r="F7" s="220">
        <v>9834</v>
      </c>
      <c r="G7" s="220">
        <v>1201</v>
      </c>
      <c r="H7" s="220">
        <v>14</v>
      </c>
      <c r="I7" s="135">
        <v>2</v>
      </c>
      <c r="J7" s="194">
        <f t="shared" si="0"/>
        <v>45626</v>
      </c>
    </row>
    <row r="8" spans="1:10" x14ac:dyDescent="0.25">
      <c r="A8" s="134" t="s">
        <v>17</v>
      </c>
      <c r="B8" s="46">
        <v>12504</v>
      </c>
      <c r="C8" s="135">
        <v>10610</v>
      </c>
      <c r="D8" s="47">
        <v>659</v>
      </c>
      <c r="E8" s="220">
        <v>343</v>
      </c>
      <c r="F8" s="220">
        <v>0</v>
      </c>
      <c r="G8" s="220">
        <v>0</v>
      </c>
      <c r="H8" s="220">
        <v>0</v>
      </c>
      <c r="I8" s="135">
        <v>0</v>
      </c>
      <c r="J8" s="194">
        <f t="shared" si="0"/>
        <v>13163</v>
      </c>
    </row>
    <row r="9" spans="1:10" x14ac:dyDescent="0.25">
      <c r="A9" s="134" t="s">
        <v>18</v>
      </c>
      <c r="B9" s="46">
        <v>1596</v>
      </c>
      <c r="C9" s="135">
        <v>1360</v>
      </c>
      <c r="D9" s="47">
        <v>175</v>
      </c>
      <c r="E9" s="220">
        <v>73</v>
      </c>
      <c r="F9" s="220">
        <v>0</v>
      </c>
      <c r="G9" s="220">
        <v>0</v>
      </c>
      <c r="H9" s="220">
        <v>0</v>
      </c>
      <c r="I9" s="135">
        <v>0</v>
      </c>
      <c r="J9" s="194">
        <f t="shared" si="0"/>
        <v>1771</v>
      </c>
    </row>
    <row r="10" spans="1:10" x14ac:dyDescent="0.25">
      <c r="A10" s="134" t="s">
        <v>19</v>
      </c>
      <c r="B10" s="46">
        <v>540</v>
      </c>
      <c r="C10" s="135">
        <v>366</v>
      </c>
      <c r="D10" s="47">
        <v>34</v>
      </c>
      <c r="E10" s="220">
        <v>11</v>
      </c>
      <c r="F10" s="220">
        <v>726</v>
      </c>
      <c r="G10" s="220">
        <v>325</v>
      </c>
      <c r="H10" s="220">
        <v>0</v>
      </c>
      <c r="I10" s="135">
        <v>0</v>
      </c>
      <c r="J10" s="194">
        <f t="shared" si="0"/>
        <v>1300</v>
      </c>
    </row>
    <row r="11" spans="1:10" ht="15.75" thickBot="1" x14ac:dyDescent="0.3">
      <c r="A11" s="140" t="s">
        <v>20</v>
      </c>
      <c r="B11" s="141">
        <v>3055</v>
      </c>
      <c r="C11" s="142">
        <v>1863</v>
      </c>
      <c r="D11" s="221">
        <v>309</v>
      </c>
      <c r="E11" s="222">
        <v>73</v>
      </c>
      <c r="F11" s="222">
        <v>1070</v>
      </c>
      <c r="G11" s="222">
        <v>0</v>
      </c>
      <c r="H11" s="222">
        <v>40</v>
      </c>
      <c r="I11" s="142">
        <v>3</v>
      </c>
      <c r="J11" s="223">
        <f t="shared" si="0"/>
        <v>4474</v>
      </c>
    </row>
    <row r="12" spans="1:10" ht="15.75" thickBot="1" x14ac:dyDescent="0.3">
      <c r="A12" s="118"/>
      <c r="B12" s="224">
        <f>+SUM(B5:B11)</f>
        <v>57705</v>
      </c>
      <c r="C12" s="225">
        <f t="shared" ref="C12:J12" si="1">+SUM(C5:C11)</f>
        <v>42546</v>
      </c>
      <c r="D12" s="224">
        <f t="shared" si="1"/>
        <v>2769</v>
      </c>
      <c r="E12" s="225">
        <f t="shared" si="1"/>
        <v>1076</v>
      </c>
      <c r="F12" s="224">
        <f t="shared" si="1"/>
        <v>11703</v>
      </c>
      <c r="G12" s="225">
        <f t="shared" si="1"/>
        <v>1554</v>
      </c>
      <c r="H12" s="226">
        <f t="shared" si="1"/>
        <v>54</v>
      </c>
      <c r="I12" s="227">
        <f t="shared" si="1"/>
        <v>5</v>
      </c>
      <c r="J12" s="228">
        <f t="shared" si="1"/>
        <v>72231</v>
      </c>
    </row>
    <row r="13" spans="1:10" x14ac:dyDescent="0.25">
      <c r="A13" s="118"/>
      <c r="B13" s="118"/>
      <c r="C13" s="118"/>
      <c r="D13" s="118"/>
      <c r="E13" s="118"/>
      <c r="F13" s="118"/>
      <c r="G13" s="118"/>
      <c r="H13" s="118"/>
      <c r="I13" s="31"/>
      <c r="J13" s="31"/>
    </row>
    <row r="14" spans="1:10" ht="15.75" thickBot="1" x14ac:dyDescent="0.3">
      <c r="A14" s="146" t="s">
        <v>25</v>
      </c>
      <c r="B14" s="118"/>
      <c r="C14" s="118"/>
      <c r="D14" s="118"/>
      <c r="E14" s="118"/>
      <c r="F14" s="118"/>
      <c r="G14" s="118"/>
      <c r="H14" s="118"/>
      <c r="I14" s="118"/>
      <c r="J14" s="118"/>
    </row>
    <row r="15" spans="1:10" x14ac:dyDescent="0.25">
      <c r="A15" s="229" t="s">
        <v>14</v>
      </c>
      <c r="B15" s="230">
        <f t="shared" ref="B15:J15" si="2">+B5/SUM($J$5:$J$11)</f>
        <v>2.8921100358571806E-2</v>
      </c>
      <c r="C15" s="231">
        <f t="shared" si="2"/>
        <v>2.1209729894366685E-2</v>
      </c>
      <c r="D15" s="230">
        <f t="shared" si="2"/>
        <v>2.256648807298805E-3</v>
      </c>
      <c r="E15" s="231">
        <f t="shared" si="2"/>
        <v>9.552685135191261E-4</v>
      </c>
      <c r="F15" s="230">
        <f t="shared" si="2"/>
        <v>0</v>
      </c>
      <c r="G15" s="231">
        <f t="shared" si="2"/>
        <v>0</v>
      </c>
      <c r="H15" s="230">
        <f t="shared" si="2"/>
        <v>0</v>
      </c>
      <c r="I15" s="231">
        <f t="shared" si="2"/>
        <v>0</v>
      </c>
      <c r="J15" s="232">
        <f t="shared" si="2"/>
        <v>3.117774916587061E-2</v>
      </c>
    </row>
    <row r="16" spans="1:10" x14ac:dyDescent="0.25">
      <c r="A16" s="233" t="s">
        <v>15</v>
      </c>
      <c r="B16" s="234">
        <f t="shared" ref="B16:J16" si="3">+B6/SUM($J$5:$J$11)</f>
        <v>4.3776217967354737E-2</v>
      </c>
      <c r="C16" s="235">
        <f t="shared" si="3"/>
        <v>3.7767717462031537E-2</v>
      </c>
      <c r="D16" s="234">
        <f t="shared" si="3"/>
        <v>5.6762331962730683E-3</v>
      </c>
      <c r="E16" s="235">
        <f t="shared" si="3"/>
        <v>2.713516357242735E-3</v>
      </c>
      <c r="F16" s="234">
        <f t="shared" si="3"/>
        <v>1.0106463983608146E-3</v>
      </c>
      <c r="G16" s="235">
        <f t="shared" si="3"/>
        <v>3.8764519389181931E-4</v>
      </c>
      <c r="H16" s="234">
        <f t="shared" si="3"/>
        <v>0</v>
      </c>
      <c r="I16" s="235">
        <f t="shared" si="3"/>
        <v>0</v>
      </c>
      <c r="J16" s="236">
        <f t="shared" si="3"/>
        <v>5.0463097561988621E-2</v>
      </c>
    </row>
    <row r="17" spans="1:10" x14ac:dyDescent="0.25">
      <c r="A17" s="233" t="s">
        <v>16</v>
      </c>
      <c r="B17" s="234">
        <f t="shared" ref="B17:J17" si="4">+B7/SUM($J$5:$J$11)</f>
        <v>0.48121997480306239</v>
      </c>
      <c r="C17" s="235">
        <f t="shared" si="4"/>
        <v>0.33347177804543754</v>
      </c>
      <c r="D17" s="234">
        <f t="shared" si="4"/>
        <v>1.4107516163420139E-2</v>
      </c>
      <c r="E17" s="235">
        <f t="shared" si="4"/>
        <v>4.3056305464412789E-3</v>
      </c>
      <c r="F17" s="234">
        <f t="shared" si="4"/>
        <v>0.1361465298832911</v>
      </c>
      <c r="G17" s="235">
        <f t="shared" si="4"/>
        <v>1.6627209923716964E-2</v>
      </c>
      <c r="H17" s="234">
        <f t="shared" si="4"/>
        <v>1.9382259694590966E-4</v>
      </c>
      <c r="I17" s="235">
        <f t="shared" si="4"/>
        <v>2.7688942420844237E-5</v>
      </c>
      <c r="J17" s="236">
        <f t="shared" si="4"/>
        <v>0.63166784344671956</v>
      </c>
    </row>
    <row r="18" spans="1:10" x14ac:dyDescent="0.25">
      <c r="A18" s="233" t="s">
        <v>17</v>
      </c>
      <c r="B18" s="234">
        <f t="shared" ref="B18:J18" si="5">+B8/SUM($J$5:$J$11)</f>
        <v>0.17311126801511817</v>
      </c>
      <c r="C18" s="235">
        <f t="shared" si="5"/>
        <v>0.14688983954257867</v>
      </c>
      <c r="D18" s="234">
        <f t="shared" si="5"/>
        <v>9.1235065276681765E-3</v>
      </c>
      <c r="E18" s="235">
        <f t="shared" si="5"/>
        <v>4.7486536251747863E-3</v>
      </c>
      <c r="F18" s="234">
        <f t="shared" si="5"/>
        <v>0</v>
      </c>
      <c r="G18" s="235">
        <f t="shared" si="5"/>
        <v>0</v>
      </c>
      <c r="H18" s="234">
        <f t="shared" si="5"/>
        <v>0</v>
      </c>
      <c r="I18" s="235">
        <f t="shared" si="5"/>
        <v>0</v>
      </c>
      <c r="J18" s="236">
        <f t="shared" si="5"/>
        <v>0.18223477454278633</v>
      </c>
    </row>
    <row r="19" spans="1:10" x14ac:dyDescent="0.25">
      <c r="A19" s="233" t="s">
        <v>18</v>
      </c>
      <c r="B19" s="234">
        <f t="shared" ref="B19:J19" si="6">+B9/SUM($J$5:$J$11)</f>
        <v>2.2095776051833702E-2</v>
      </c>
      <c r="C19" s="235">
        <f t="shared" si="6"/>
        <v>1.882848084617408E-2</v>
      </c>
      <c r="D19" s="234">
        <f t="shared" si="6"/>
        <v>2.4227824618238704E-3</v>
      </c>
      <c r="E19" s="235">
        <f t="shared" si="6"/>
        <v>1.0106463983608146E-3</v>
      </c>
      <c r="F19" s="234">
        <f t="shared" si="6"/>
        <v>0</v>
      </c>
      <c r="G19" s="235">
        <f t="shared" si="6"/>
        <v>0</v>
      </c>
      <c r="H19" s="234">
        <f t="shared" si="6"/>
        <v>0</v>
      </c>
      <c r="I19" s="235">
        <f t="shared" si="6"/>
        <v>0</v>
      </c>
      <c r="J19" s="236">
        <f t="shared" si="6"/>
        <v>2.4518558513657571E-2</v>
      </c>
    </row>
    <row r="20" spans="1:10" x14ac:dyDescent="0.25">
      <c r="A20" s="233" t="s">
        <v>19</v>
      </c>
      <c r="B20" s="234">
        <f t="shared" ref="B20:J20" si="7">+B10/SUM($J$5:$J$11)</f>
        <v>7.4760144536279438E-3</v>
      </c>
      <c r="C20" s="235">
        <f t="shared" si="7"/>
        <v>5.067076463014495E-3</v>
      </c>
      <c r="D20" s="234">
        <f t="shared" si="7"/>
        <v>4.7071202115435201E-4</v>
      </c>
      <c r="E20" s="235">
        <f t="shared" si="7"/>
        <v>1.5228918331464331E-4</v>
      </c>
      <c r="F20" s="234">
        <f t="shared" si="7"/>
        <v>1.0051086098766458E-2</v>
      </c>
      <c r="G20" s="235">
        <f t="shared" si="7"/>
        <v>4.499453143387188E-3</v>
      </c>
      <c r="H20" s="234">
        <f t="shared" si="7"/>
        <v>0</v>
      </c>
      <c r="I20" s="235">
        <f t="shared" si="7"/>
        <v>0</v>
      </c>
      <c r="J20" s="236">
        <f t="shared" si="7"/>
        <v>1.7997812573548752E-2</v>
      </c>
    </row>
    <row r="21" spans="1:10" ht="15.75" thickBot="1" x14ac:dyDescent="0.3">
      <c r="A21" s="237" t="s">
        <v>20</v>
      </c>
      <c r="B21" s="238">
        <f t="shared" ref="B21:J21" si="8">+B11/SUM($J$5:$J$11)</f>
        <v>4.2294859547839569E-2</v>
      </c>
      <c r="C21" s="239">
        <f t="shared" si="8"/>
        <v>2.5792249865016405E-2</v>
      </c>
      <c r="D21" s="238">
        <f t="shared" si="8"/>
        <v>4.2779416040204347E-3</v>
      </c>
      <c r="E21" s="239">
        <f t="shared" si="8"/>
        <v>1.0106463983608146E-3</v>
      </c>
      <c r="F21" s="238">
        <f t="shared" si="8"/>
        <v>1.4813584195151667E-2</v>
      </c>
      <c r="G21" s="239">
        <f t="shared" si="8"/>
        <v>0</v>
      </c>
      <c r="H21" s="238">
        <f t="shared" si="8"/>
        <v>5.537788484168847E-4</v>
      </c>
      <c r="I21" s="239">
        <f t="shared" si="8"/>
        <v>4.1533413631266354E-5</v>
      </c>
      <c r="J21" s="240">
        <f t="shared" si="8"/>
        <v>6.1940164195428554E-2</v>
      </c>
    </row>
    <row r="22" spans="1:10" ht="15.75" thickBot="1" x14ac:dyDescent="0.3">
      <c r="A22" s="118"/>
      <c r="B22" s="241">
        <f>+SUM(B15:B21)</f>
        <v>0.79889521119740836</v>
      </c>
      <c r="C22" s="242">
        <f t="shared" ref="C22:J22" si="9">+SUM(C15:C21)</f>
        <v>0.58902687211861937</v>
      </c>
      <c r="D22" s="241">
        <f t="shared" si="9"/>
        <v>3.8335340781658844E-2</v>
      </c>
      <c r="E22" s="242">
        <f t="shared" si="9"/>
        <v>1.4896651022414201E-2</v>
      </c>
      <c r="F22" s="241">
        <f t="shared" si="9"/>
        <v>0.16202184657557003</v>
      </c>
      <c r="G22" s="242">
        <f t="shared" si="9"/>
        <v>2.1514308260995971E-2</v>
      </c>
      <c r="H22" s="241">
        <f t="shared" si="9"/>
        <v>7.4760144536279436E-4</v>
      </c>
      <c r="I22" s="242">
        <f t="shared" si="9"/>
        <v>6.9222356052110588E-5</v>
      </c>
      <c r="J22" s="210">
        <f t="shared" si="9"/>
        <v>1</v>
      </c>
    </row>
    <row r="24" spans="1:10" x14ac:dyDescent="0.25">
      <c r="J24" s="29" t="s">
        <v>28</v>
      </c>
    </row>
  </sheetData>
  <mergeCells count="8">
    <mergeCell ref="A1:J1"/>
    <mergeCell ref="B2:E2"/>
    <mergeCell ref="F2:I2"/>
    <mergeCell ref="J2:J4"/>
    <mergeCell ref="B3:C3"/>
    <mergeCell ref="D3:E3"/>
    <mergeCell ref="F3:G3"/>
    <mergeCell ref="H3:I3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zoomScaleNormal="100" workbookViewId="0">
      <selection activeCell="M13" sqref="M13"/>
    </sheetView>
  </sheetViews>
  <sheetFormatPr defaultRowHeight="15" x14ac:dyDescent="0.25"/>
  <cols>
    <col min="1" max="1" width="17.5703125" bestFit="1" customWidth="1"/>
    <col min="2" max="9" width="7.85546875" customWidth="1"/>
  </cols>
  <sheetData>
    <row r="1" spans="1:13" ht="47.25" customHeight="1" thickBot="1" x14ac:dyDescent="0.4">
      <c r="A1" s="970" t="s">
        <v>140</v>
      </c>
      <c r="B1" s="970"/>
      <c r="C1" s="970"/>
      <c r="D1" s="970"/>
      <c r="E1" s="970"/>
      <c r="F1" s="970"/>
      <c r="G1" s="970"/>
      <c r="H1" s="970"/>
      <c r="I1" s="970"/>
    </row>
    <row r="2" spans="1:13" x14ac:dyDescent="0.25">
      <c r="A2" s="479" t="s">
        <v>55</v>
      </c>
      <c r="B2" s="966" t="s">
        <v>3</v>
      </c>
      <c r="C2" s="967"/>
      <c r="D2" s="968" t="s">
        <v>5</v>
      </c>
      <c r="E2" s="969"/>
      <c r="F2" s="966" t="s">
        <v>6</v>
      </c>
      <c r="G2" s="969"/>
      <c r="H2" s="961" t="s">
        <v>21</v>
      </c>
      <c r="I2" s="963" t="s">
        <v>103</v>
      </c>
    </row>
    <row r="3" spans="1:13" ht="15.75" thickBot="1" x14ac:dyDescent="0.3">
      <c r="A3" s="185" t="s">
        <v>56</v>
      </c>
      <c r="B3" s="243" t="s">
        <v>12</v>
      </c>
      <c r="C3" s="244" t="s">
        <v>13</v>
      </c>
      <c r="D3" s="245" t="s">
        <v>12</v>
      </c>
      <c r="E3" s="246" t="s">
        <v>13</v>
      </c>
      <c r="F3" s="243" t="s">
        <v>12</v>
      </c>
      <c r="G3" s="246" t="s">
        <v>13</v>
      </c>
      <c r="H3" s="962"/>
      <c r="I3" s="964"/>
    </row>
    <row r="4" spans="1:13" x14ac:dyDescent="0.25">
      <c r="A4" s="128" t="s">
        <v>29</v>
      </c>
      <c r="B4" s="129">
        <v>2780</v>
      </c>
      <c r="C4" s="247">
        <v>592</v>
      </c>
      <c r="D4" s="129">
        <v>3321</v>
      </c>
      <c r="E4" s="130">
        <v>891</v>
      </c>
      <c r="F4" s="217">
        <v>252</v>
      </c>
      <c r="G4" s="247">
        <v>599</v>
      </c>
      <c r="H4" s="219">
        <f t="shared" ref="H4:H34" si="0">SUM(B4:G4)</f>
        <v>8435</v>
      </c>
      <c r="I4" s="248">
        <v>0.1168</v>
      </c>
      <c r="M4" s="44"/>
    </row>
    <row r="5" spans="1:13" x14ac:dyDescent="0.25">
      <c r="A5" s="134" t="s">
        <v>59</v>
      </c>
      <c r="B5" s="46">
        <v>0</v>
      </c>
      <c r="C5" s="249">
        <v>4141</v>
      </c>
      <c r="D5" s="46">
        <v>0</v>
      </c>
      <c r="E5" s="135">
        <v>2325</v>
      </c>
      <c r="F5" s="47">
        <v>5</v>
      </c>
      <c r="G5" s="249">
        <v>45</v>
      </c>
      <c r="H5" s="194">
        <f t="shared" si="0"/>
        <v>6516</v>
      </c>
      <c r="I5" s="250" t="s">
        <v>151</v>
      </c>
      <c r="M5" s="44"/>
    </row>
    <row r="6" spans="1:13" x14ac:dyDescent="0.25">
      <c r="A6" s="134" t="s">
        <v>30</v>
      </c>
      <c r="B6" s="46">
        <v>2542</v>
      </c>
      <c r="C6" s="249">
        <v>255</v>
      </c>
      <c r="D6" s="46">
        <v>2411</v>
      </c>
      <c r="E6" s="135">
        <v>4</v>
      </c>
      <c r="F6" s="47">
        <v>148</v>
      </c>
      <c r="G6" s="249">
        <v>170</v>
      </c>
      <c r="H6" s="194">
        <f t="shared" si="0"/>
        <v>5530</v>
      </c>
      <c r="I6" s="250" t="s">
        <v>142</v>
      </c>
      <c r="M6" s="44"/>
    </row>
    <row r="7" spans="1:13" x14ac:dyDescent="0.25">
      <c r="A7" s="134" t="s">
        <v>31</v>
      </c>
      <c r="B7" s="46">
        <v>2148</v>
      </c>
      <c r="C7" s="249">
        <v>522</v>
      </c>
      <c r="D7" s="46">
        <v>1541</v>
      </c>
      <c r="E7" s="135">
        <v>581</v>
      </c>
      <c r="F7" s="47">
        <v>117</v>
      </c>
      <c r="G7" s="249">
        <v>118</v>
      </c>
      <c r="H7" s="194">
        <f t="shared" si="0"/>
        <v>5027</v>
      </c>
      <c r="I7" s="250" t="s">
        <v>146</v>
      </c>
      <c r="M7" s="44"/>
    </row>
    <row r="8" spans="1:13" x14ac:dyDescent="0.25">
      <c r="A8" s="134" t="s">
        <v>34</v>
      </c>
      <c r="B8" s="46">
        <v>1725</v>
      </c>
      <c r="C8" s="249">
        <v>806</v>
      </c>
      <c r="D8" s="46">
        <v>1399</v>
      </c>
      <c r="E8" s="135">
        <v>979</v>
      </c>
      <c r="F8" s="47">
        <v>38</v>
      </c>
      <c r="G8" s="249">
        <v>41</v>
      </c>
      <c r="H8" s="194">
        <f t="shared" si="0"/>
        <v>4988</v>
      </c>
      <c r="I8" s="250" t="s">
        <v>144</v>
      </c>
      <c r="M8" s="44"/>
    </row>
    <row r="9" spans="1:13" x14ac:dyDescent="0.25">
      <c r="A9" s="134" t="s">
        <v>33</v>
      </c>
      <c r="B9" s="46">
        <v>1876</v>
      </c>
      <c r="C9" s="249">
        <v>346</v>
      </c>
      <c r="D9" s="46">
        <v>1680</v>
      </c>
      <c r="E9" s="135">
        <v>573</v>
      </c>
      <c r="F9" s="47">
        <v>62</v>
      </c>
      <c r="G9" s="249">
        <v>150</v>
      </c>
      <c r="H9" s="194">
        <f t="shared" si="0"/>
        <v>4687</v>
      </c>
      <c r="I9" s="250" t="s">
        <v>143</v>
      </c>
      <c r="M9" s="44"/>
    </row>
    <row r="10" spans="1:13" x14ac:dyDescent="0.25">
      <c r="A10" s="134" t="s">
        <v>35</v>
      </c>
      <c r="B10" s="46">
        <v>1487</v>
      </c>
      <c r="C10" s="249">
        <v>807</v>
      </c>
      <c r="D10" s="46">
        <v>1303</v>
      </c>
      <c r="E10" s="135">
        <v>743</v>
      </c>
      <c r="F10" s="47">
        <v>41</v>
      </c>
      <c r="G10" s="249">
        <v>70</v>
      </c>
      <c r="H10" s="194">
        <f t="shared" si="0"/>
        <v>4451</v>
      </c>
      <c r="I10" s="250" t="s">
        <v>145</v>
      </c>
      <c r="M10" s="44"/>
    </row>
    <row r="11" spans="1:13" x14ac:dyDescent="0.25">
      <c r="A11" s="134" t="s">
        <v>37</v>
      </c>
      <c r="B11" s="46">
        <v>1461</v>
      </c>
      <c r="C11" s="249">
        <v>1030</v>
      </c>
      <c r="D11" s="46">
        <v>1116</v>
      </c>
      <c r="E11" s="135">
        <v>676</v>
      </c>
      <c r="F11" s="47">
        <v>18</v>
      </c>
      <c r="G11" s="249">
        <v>61</v>
      </c>
      <c r="H11" s="194">
        <f t="shared" si="0"/>
        <v>4362</v>
      </c>
      <c r="I11" s="250" t="s">
        <v>148</v>
      </c>
      <c r="M11" s="44"/>
    </row>
    <row r="12" spans="1:13" x14ac:dyDescent="0.25">
      <c r="A12" s="134" t="s">
        <v>58</v>
      </c>
      <c r="B12" s="46">
        <v>1463</v>
      </c>
      <c r="C12" s="249">
        <v>418</v>
      </c>
      <c r="D12" s="46">
        <v>1207</v>
      </c>
      <c r="E12" s="135">
        <v>349</v>
      </c>
      <c r="F12" s="47">
        <v>85</v>
      </c>
      <c r="G12" s="249">
        <v>96</v>
      </c>
      <c r="H12" s="194">
        <f t="shared" si="0"/>
        <v>3618</v>
      </c>
      <c r="I12" s="250" t="s">
        <v>149</v>
      </c>
      <c r="M12" s="44"/>
    </row>
    <row r="13" spans="1:13" x14ac:dyDescent="0.25">
      <c r="A13" s="134" t="s">
        <v>38</v>
      </c>
      <c r="B13" s="46">
        <v>1284</v>
      </c>
      <c r="C13" s="249">
        <v>448</v>
      </c>
      <c r="D13" s="46">
        <v>1094</v>
      </c>
      <c r="E13" s="135">
        <v>534</v>
      </c>
      <c r="F13" s="47">
        <v>65</v>
      </c>
      <c r="G13" s="249">
        <v>73</v>
      </c>
      <c r="H13" s="194">
        <f t="shared" si="0"/>
        <v>3498</v>
      </c>
      <c r="I13" s="250" t="s">
        <v>150</v>
      </c>
      <c r="M13" s="44"/>
    </row>
    <row r="14" spans="1:13" x14ac:dyDescent="0.25">
      <c r="A14" s="134" t="s">
        <v>41</v>
      </c>
      <c r="B14" s="46">
        <v>1495</v>
      </c>
      <c r="C14" s="249">
        <v>604</v>
      </c>
      <c r="D14" s="46">
        <v>939</v>
      </c>
      <c r="E14" s="135">
        <v>380</v>
      </c>
      <c r="F14" s="47">
        <v>14</v>
      </c>
      <c r="G14" s="249">
        <v>20</v>
      </c>
      <c r="H14" s="194">
        <f t="shared" si="0"/>
        <v>3452</v>
      </c>
      <c r="I14" s="250" t="s">
        <v>147</v>
      </c>
      <c r="M14" s="44"/>
    </row>
    <row r="15" spans="1:13" x14ac:dyDescent="0.25">
      <c r="A15" s="134" t="s">
        <v>593</v>
      </c>
      <c r="B15" s="46">
        <v>728</v>
      </c>
      <c r="C15" s="249">
        <v>615</v>
      </c>
      <c r="D15" s="46">
        <v>600</v>
      </c>
      <c r="E15" s="135">
        <v>737</v>
      </c>
      <c r="F15" s="47">
        <v>4</v>
      </c>
      <c r="G15" s="249">
        <v>9</v>
      </c>
      <c r="H15" s="194">
        <f t="shared" si="0"/>
        <v>2693</v>
      </c>
      <c r="I15" s="250" t="s">
        <v>152</v>
      </c>
      <c r="M15" s="44"/>
    </row>
    <row r="16" spans="1:13" x14ac:dyDescent="0.25">
      <c r="A16" s="134" t="s">
        <v>40</v>
      </c>
      <c r="B16" s="46">
        <v>829</v>
      </c>
      <c r="C16" s="249">
        <v>370</v>
      </c>
      <c r="D16" s="46">
        <v>770</v>
      </c>
      <c r="E16" s="135">
        <v>384</v>
      </c>
      <c r="F16" s="47">
        <v>48</v>
      </c>
      <c r="G16" s="249">
        <v>90</v>
      </c>
      <c r="H16" s="194">
        <f t="shared" si="0"/>
        <v>2491</v>
      </c>
      <c r="I16" s="250" t="s">
        <v>154</v>
      </c>
      <c r="M16" s="44"/>
    </row>
    <row r="17" spans="1:13" x14ac:dyDescent="0.25">
      <c r="A17" s="134" t="s">
        <v>39</v>
      </c>
      <c r="B17" s="46">
        <v>944</v>
      </c>
      <c r="C17" s="249">
        <v>74</v>
      </c>
      <c r="D17" s="46">
        <v>802</v>
      </c>
      <c r="E17" s="135">
        <v>109</v>
      </c>
      <c r="F17" s="47">
        <v>53</v>
      </c>
      <c r="G17" s="249">
        <v>56</v>
      </c>
      <c r="H17" s="194">
        <f t="shared" si="0"/>
        <v>2038</v>
      </c>
      <c r="I17" s="250" t="s">
        <v>155</v>
      </c>
      <c r="M17" s="44"/>
    </row>
    <row r="18" spans="1:13" x14ac:dyDescent="0.25">
      <c r="A18" s="134" t="s">
        <v>42</v>
      </c>
      <c r="B18" s="46">
        <v>964</v>
      </c>
      <c r="C18" s="249">
        <v>367</v>
      </c>
      <c r="D18" s="46">
        <v>386</v>
      </c>
      <c r="E18" s="135">
        <v>202</v>
      </c>
      <c r="F18" s="47">
        <v>6</v>
      </c>
      <c r="G18" s="249">
        <v>8</v>
      </c>
      <c r="H18" s="194">
        <f t="shared" si="0"/>
        <v>1933</v>
      </c>
      <c r="I18" s="250" t="s">
        <v>153</v>
      </c>
      <c r="M18" s="44"/>
    </row>
    <row r="19" spans="1:13" x14ac:dyDescent="0.25">
      <c r="A19" s="134" t="s">
        <v>44</v>
      </c>
      <c r="B19" s="46">
        <v>509</v>
      </c>
      <c r="C19" s="249">
        <v>214</v>
      </c>
      <c r="D19" s="46">
        <v>402</v>
      </c>
      <c r="E19" s="135">
        <v>156</v>
      </c>
      <c r="F19" s="47">
        <v>57</v>
      </c>
      <c r="G19" s="249">
        <v>54</v>
      </c>
      <c r="H19" s="194">
        <f t="shared" si="0"/>
        <v>1392</v>
      </c>
      <c r="I19" s="250" t="s">
        <v>156</v>
      </c>
      <c r="M19" s="44"/>
    </row>
    <row r="20" spans="1:13" x14ac:dyDescent="0.25">
      <c r="A20" s="134" t="s">
        <v>177</v>
      </c>
      <c r="B20" s="46">
        <v>387</v>
      </c>
      <c r="C20" s="249">
        <v>343</v>
      </c>
      <c r="D20" s="46">
        <v>246</v>
      </c>
      <c r="E20" s="135">
        <v>351</v>
      </c>
      <c r="F20" s="47">
        <v>0</v>
      </c>
      <c r="G20" s="249">
        <v>4</v>
      </c>
      <c r="H20" s="194">
        <f t="shared" si="0"/>
        <v>1331</v>
      </c>
      <c r="I20" s="250" t="s">
        <v>157</v>
      </c>
      <c r="M20" s="44"/>
    </row>
    <row r="21" spans="1:13" x14ac:dyDescent="0.25">
      <c r="A21" s="134" t="s">
        <v>45</v>
      </c>
      <c r="B21" s="46">
        <v>0</v>
      </c>
      <c r="C21" s="249">
        <v>1067</v>
      </c>
      <c r="D21" s="46">
        <v>0</v>
      </c>
      <c r="E21" s="135">
        <v>0</v>
      </c>
      <c r="F21" s="47">
        <v>0</v>
      </c>
      <c r="G21" s="249">
        <v>0</v>
      </c>
      <c r="H21" s="194">
        <f t="shared" si="0"/>
        <v>1067</v>
      </c>
      <c r="I21" s="250" t="s">
        <v>159</v>
      </c>
      <c r="M21" s="44"/>
    </row>
    <row r="22" spans="1:13" x14ac:dyDescent="0.25">
      <c r="A22" s="134" t="s">
        <v>48</v>
      </c>
      <c r="B22" s="46">
        <v>216</v>
      </c>
      <c r="C22" s="249">
        <v>183</v>
      </c>
      <c r="D22" s="46">
        <v>228</v>
      </c>
      <c r="E22" s="135">
        <v>183</v>
      </c>
      <c r="F22" s="47">
        <v>2</v>
      </c>
      <c r="G22" s="249">
        <v>1</v>
      </c>
      <c r="H22" s="194">
        <f t="shared" si="0"/>
        <v>813</v>
      </c>
      <c r="I22" s="250" t="s">
        <v>160</v>
      </c>
      <c r="M22" s="44"/>
    </row>
    <row r="23" spans="1:13" x14ac:dyDescent="0.25">
      <c r="A23" s="134" t="s">
        <v>47</v>
      </c>
      <c r="B23" s="46">
        <v>115</v>
      </c>
      <c r="C23" s="249">
        <v>393</v>
      </c>
      <c r="D23" s="46">
        <v>10</v>
      </c>
      <c r="E23" s="135">
        <v>260</v>
      </c>
      <c r="F23" s="47">
        <v>0</v>
      </c>
      <c r="G23" s="249">
        <v>0</v>
      </c>
      <c r="H23" s="194">
        <f t="shared" si="0"/>
        <v>778</v>
      </c>
      <c r="I23" s="250" t="s">
        <v>161</v>
      </c>
      <c r="M23" s="44"/>
    </row>
    <row r="24" spans="1:13" x14ac:dyDescent="0.25">
      <c r="A24" s="134" t="s">
        <v>46</v>
      </c>
      <c r="B24" s="46">
        <v>325</v>
      </c>
      <c r="C24" s="249">
        <v>297</v>
      </c>
      <c r="D24" s="46">
        <v>0</v>
      </c>
      <c r="E24" s="135">
        <v>104</v>
      </c>
      <c r="F24" s="47">
        <v>0</v>
      </c>
      <c r="G24" s="249">
        <v>0</v>
      </c>
      <c r="H24" s="194">
        <f t="shared" si="0"/>
        <v>726</v>
      </c>
      <c r="I24" s="250" t="s">
        <v>163</v>
      </c>
      <c r="M24" s="44"/>
    </row>
    <row r="25" spans="1:13" x14ac:dyDescent="0.25">
      <c r="A25" s="134" t="s">
        <v>43</v>
      </c>
      <c r="B25" s="46">
        <v>74</v>
      </c>
      <c r="C25" s="249">
        <v>606</v>
      </c>
      <c r="D25" s="46">
        <v>38</v>
      </c>
      <c r="E25" s="135">
        <v>0</v>
      </c>
      <c r="F25" s="47">
        <v>0</v>
      </c>
      <c r="G25" s="249">
        <v>0</v>
      </c>
      <c r="H25" s="194">
        <f t="shared" si="0"/>
        <v>718</v>
      </c>
      <c r="I25" s="250" t="s">
        <v>158</v>
      </c>
      <c r="M25" s="44"/>
    </row>
    <row r="26" spans="1:13" x14ac:dyDescent="0.25">
      <c r="A26" s="134" t="s">
        <v>49</v>
      </c>
      <c r="B26" s="46">
        <v>185</v>
      </c>
      <c r="C26" s="249">
        <v>0</v>
      </c>
      <c r="D26" s="46">
        <v>140</v>
      </c>
      <c r="E26" s="135">
        <v>0</v>
      </c>
      <c r="F26" s="47">
        <v>27</v>
      </c>
      <c r="G26" s="249">
        <v>35</v>
      </c>
      <c r="H26" s="194">
        <f t="shared" si="0"/>
        <v>387</v>
      </c>
      <c r="I26" s="250" t="s">
        <v>162</v>
      </c>
      <c r="M26" s="44"/>
    </row>
    <row r="27" spans="1:13" x14ac:dyDescent="0.25">
      <c r="A27" s="134" t="s">
        <v>181</v>
      </c>
      <c r="B27" s="46">
        <v>36</v>
      </c>
      <c r="C27" s="249">
        <v>27</v>
      </c>
      <c r="D27" s="46">
        <v>145</v>
      </c>
      <c r="E27" s="135">
        <v>0</v>
      </c>
      <c r="F27" s="47">
        <v>14</v>
      </c>
      <c r="G27" s="249">
        <v>30</v>
      </c>
      <c r="H27" s="194">
        <f t="shared" si="0"/>
        <v>252</v>
      </c>
      <c r="I27" s="250" t="s">
        <v>166</v>
      </c>
      <c r="M27" s="44"/>
    </row>
    <row r="28" spans="1:13" x14ac:dyDescent="0.25">
      <c r="A28" s="134" t="s">
        <v>61</v>
      </c>
      <c r="B28" s="46">
        <v>85</v>
      </c>
      <c r="C28" s="249">
        <v>133</v>
      </c>
      <c r="D28" s="46">
        <v>0</v>
      </c>
      <c r="E28" s="135">
        <v>24</v>
      </c>
      <c r="F28" s="47">
        <v>0</v>
      </c>
      <c r="G28" s="249">
        <v>0</v>
      </c>
      <c r="H28" s="194">
        <f t="shared" si="0"/>
        <v>242</v>
      </c>
      <c r="I28" s="250" t="s">
        <v>165</v>
      </c>
      <c r="M28" s="44"/>
    </row>
    <row r="29" spans="1:13" x14ac:dyDescent="0.25">
      <c r="A29" s="134" t="s">
        <v>60</v>
      </c>
      <c r="B29" s="46">
        <v>133</v>
      </c>
      <c r="C29" s="249">
        <v>13</v>
      </c>
      <c r="D29" s="46">
        <v>49</v>
      </c>
      <c r="E29" s="135">
        <v>20</v>
      </c>
      <c r="F29" s="47">
        <v>0</v>
      </c>
      <c r="G29" s="249">
        <v>0</v>
      </c>
      <c r="H29" s="194">
        <f t="shared" si="0"/>
        <v>215</v>
      </c>
      <c r="I29" s="250" t="s">
        <v>164</v>
      </c>
      <c r="M29" s="44"/>
    </row>
    <row r="30" spans="1:13" x14ac:dyDescent="0.25">
      <c r="A30" s="134" t="s">
        <v>52</v>
      </c>
      <c r="B30" s="46">
        <v>91</v>
      </c>
      <c r="C30" s="249">
        <v>0</v>
      </c>
      <c r="D30" s="46">
        <v>100</v>
      </c>
      <c r="E30" s="135">
        <v>0</v>
      </c>
      <c r="F30" s="47">
        <v>18</v>
      </c>
      <c r="G30" s="249">
        <v>11</v>
      </c>
      <c r="H30" s="194">
        <f t="shared" si="0"/>
        <v>220</v>
      </c>
      <c r="I30" s="250" t="s">
        <v>164</v>
      </c>
      <c r="M30" s="44"/>
    </row>
    <row r="31" spans="1:13" x14ac:dyDescent="0.25">
      <c r="A31" s="134" t="s">
        <v>53</v>
      </c>
      <c r="B31" s="46">
        <v>113</v>
      </c>
      <c r="C31" s="249">
        <v>0</v>
      </c>
      <c r="D31" s="46">
        <v>86</v>
      </c>
      <c r="E31" s="135">
        <v>0</v>
      </c>
      <c r="F31" s="47">
        <v>7</v>
      </c>
      <c r="G31" s="249">
        <v>1</v>
      </c>
      <c r="H31" s="194">
        <f t="shared" si="0"/>
        <v>207</v>
      </c>
      <c r="I31" s="250" t="s">
        <v>167</v>
      </c>
      <c r="M31" s="44"/>
    </row>
    <row r="32" spans="1:13" x14ac:dyDescent="0.25">
      <c r="A32" s="134" t="s">
        <v>51</v>
      </c>
      <c r="B32" s="46">
        <v>76</v>
      </c>
      <c r="C32" s="249">
        <v>72</v>
      </c>
      <c r="D32" s="46">
        <v>0</v>
      </c>
      <c r="E32" s="135">
        <v>0</v>
      </c>
      <c r="F32" s="47">
        <v>0</v>
      </c>
      <c r="G32" s="249">
        <v>0</v>
      </c>
      <c r="H32" s="194">
        <f t="shared" si="0"/>
        <v>148</v>
      </c>
      <c r="I32" s="250" t="s">
        <v>168</v>
      </c>
      <c r="M32" s="44"/>
    </row>
    <row r="33" spans="1:13" ht="15.75" thickBot="1" x14ac:dyDescent="0.3">
      <c r="A33" s="140" t="s">
        <v>54</v>
      </c>
      <c r="B33" s="141">
        <v>16</v>
      </c>
      <c r="C33" s="251">
        <v>0</v>
      </c>
      <c r="D33" s="46">
        <v>0</v>
      </c>
      <c r="E33" s="135">
        <v>0</v>
      </c>
      <c r="F33" s="47">
        <v>0</v>
      </c>
      <c r="G33" s="249">
        <v>0</v>
      </c>
      <c r="H33" s="223">
        <f t="shared" si="0"/>
        <v>16</v>
      </c>
      <c r="I33" s="252" t="s">
        <v>169</v>
      </c>
      <c r="M33" s="44"/>
    </row>
    <row r="34" spans="1:13" ht="15.75" thickBot="1" x14ac:dyDescent="0.3">
      <c r="A34" s="253" t="s">
        <v>8</v>
      </c>
      <c r="B34" s="254">
        <f t="shared" ref="B34:G34" si="1">SUM(B4:B33)</f>
        <v>24087</v>
      </c>
      <c r="C34" s="255">
        <f t="shared" si="1"/>
        <v>14743</v>
      </c>
      <c r="D34" s="254">
        <f t="shared" si="1"/>
        <v>20013</v>
      </c>
      <c r="E34" s="255">
        <f t="shared" si="1"/>
        <v>10565</v>
      </c>
      <c r="F34" s="256">
        <f t="shared" si="1"/>
        <v>1081</v>
      </c>
      <c r="G34" s="257">
        <f t="shared" si="1"/>
        <v>1742</v>
      </c>
      <c r="H34" s="258">
        <f t="shared" si="0"/>
        <v>72231</v>
      </c>
      <c r="I34" s="259" t="s">
        <v>139</v>
      </c>
      <c r="M34" s="44"/>
    </row>
    <row r="35" spans="1:13" ht="15.75" thickBot="1" x14ac:dyDescent="0.3">
      <c r="A35" s="118"/>
      <c r="B35" s="260" t="s">
        <v>170</v>
      </c>
      <c r="C35" s="261" t="s">
        <v>171</v>
      </c>
      <c r="D35" s="260" t="s">
        <v>172</v>
      </c>
      <c r="E35" s="262" t="s">
        <v>173</v>
      </c>
      <c r="F35" s="263" t="s">
        <v>174</v>
      </c>
      <c r="G35" s="261" t="s">
        <v>175</v>
      </c>
      <c r="H35" s="264" t="s">
        <v>176</v>
      </c>
      <c r="I35" s="265"/>
    </row>
    <row r="36" spans="1:13" x14ac:dyDescent="0.25">
      <c r="I36" s="43"/>
      <c r="M36" s="44"/>
    </row>
    <row r="37" spans="1:13" x14ac:dyDescent="0.25">
      <c r="I37" s="29" t="s">
        <v>28</v>
      </c>
    </row>
    <row r="41" spans="1:13" x14ac:dyDescent="0.25">
      <c r="B41" s="44"/>
      <c r="C41" s="44"/>
      <c r="D41" s="44"/>
      <c r="E41" s="44"/>
      <c r="F41" s="44"/>
      <c r="G41" s="44"/>
      <c r="H41" s="44"/>
    </row>
  </sheetData>
  <mergeCells count="6">
    <mergeCell ref="B2:C2"/>
    <mergeCell ref="D2:E2"/>
    <mergeCell ref="F2:G2"/>
    <mergeCell ref="A1:I1"/>
    <mergeCell ref="H2:H3"/>
    <mergeCell ref="I2:I3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  <ignoredErrors>
    <ignoredError sqref="B35:H35 I9 I18 I6 I14 I25 I29:I30 I31:I3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zoomScaleNormal="100" workbookViewId="0">
      <selection activeCell="H18" sqref="H18"/>
    </sheetView>
  </sheetViews>
  <sheetFormatPr defaultRowHeight="15" x14ac:dyDescent="0.25"/>
  <cols>
    <col min="1" max="1" width="44.5703125" style="16" bestFit="1" customWidth="1"/>
    <col min="2" max="2" width="9.140625" style="16" customWidth="1"/>
    <col min="3" max="11" width="8.28515625" style="16" customWidth="1"/>
    <col min="12" max="16384" width="9.140625" style="16"/>
  </cols>
  <sheetData>
    <row r="1" spans="1:14" ht="47.25" customHeight="1" thickBot="1" x14ac:dyDescent="0.4">
      <c r="A1" s="971" t="s">
        <v>645</v>
      </c>
      <c r="B1" s="971"/>
      <c r="C1" s="971"/>
      <c r="D1" s="971"/>
      <c r="E1" s="971"/>
      <c r="F1" s="971"/>
      <c r="G1" s="971"/>
      <c r="H1" s="971"/>
      <c r="I1" s="971"/>
      <c r="J1" s="971"/>
      <c r="K1" s="971"/>
    </row>
    <row r="2" spans="1:14" ht="105" thickBot="1" x14ac:dyDescent="0.3">
      <c r="A2" s="38" t="s">
        <v>24</v>
      </c>
      <c r="B2" s="35" t="s">
        <v>62</v>
      </c>
      <c r="C2" s="32" t="s">
        <v>105</v>
      </c>
      <c r="D2" s="36" t="s">
        <v>64</v>
      </c>
      <c r="E2" s="35" t="s">
        <v>65</v>
      </c>
      <c r="F2" s="32" t="s">
        <v>106</v>
      </c>
      <c r="G2" s="33" t="s">
        <v>67</v>
      </c>
      <c r="H2" s="34" t="s">
        <v>68</v>
      </c>
      <c r="I2" s="32" t="s">
        <v>107</v>
      </c>
      <c r="J2" s="32" t="s">
        <v>70</v>
      </c>
      <c r="K2" s="33" t="s">
        <v>71</v>
      </c>
      <c r="L2" s="17"/>
      <c r="M2" s="17"/>
      <c r="N2" s="18"/>
    </row>
    <row r="3" spans="1:14" x14ac:dyDescent="0.25">
      <c r="A3" s="475" t="s">
        <v>73</v>
      </c>
      <c r="B3" s="50">
        <v>3619</v>
      </c>
      <c r="C3" s="266">
        <v>3314</v>
      </c>
      <c r="D3" s="51">
        <v>1.092033796016898</v>
      </c>
      <c r="E3" s="50">
        <v>2766</v>
      </c>
      <c r="F3" s="266">
        <v>2579</v>
      </c>
      <c r="G3" s="51">
        <v>0.77821363910681951</v>
      </c>
      <c r="H3" s="52">
        <v>2041</v>
      </c>
      <c r="I3" s="266">
        <v>2037</v>
      </c>
      <c r="J3" s="53">
        <v>0.78984102365257847</v>
      </c>
      <c r="K3" s="51">
        <v>0.61466505733252863</v>
      </c>
      <c r="L3" s="19"/>
      <c r="M3" s="20"/>
    </row>
    <row r="4" spans="1:14" x14ac:dyDescent="0.25">
      <c r="A4" s="476" t="s">
        <v>104</v>
      </c>
      <c r="B4" s="54">
        <v>9224</v>
      </c>
      <c r="C4" s="267">
        <v>6492</v>
      </c>
      <c r="D4" s="55">
        <v>1.4208256315465189</v>
      </c>
      <c r="E4" s="54">
        <v>5453</v>
      </c>
      <c r="F4" s="267">
        <v>4802</v>
      </c>
      <c r="G4" s="55">
        <v>0.73967960566851509</v>
      </c>
      <c r="H4" s="56">
        <v>2932</v>
      </c>
      <c r="I4" s="267">
        <v>2931</v>
      </c>
      <c r="J4" s="57">
        <v>0.61037067888379837</v>
      </c>
      <c r="K4" s="55">
        <v>0.45147874306839186</v>
      </c>
      <c r="L4" s="19"/>
      <c r="M4" s="20"/>
    </row>
    <row r="5" spans="1:14" x14ac:dyDescent="0.25">
      <c r="A5" s="476" t="s">
        <v>75</v>
      </c>
      <c r="B5" s="54">
        <v>86781</v>
      </c>
      <c r="C5" s="267">
        <v>47666</v>
      </c>
      <c r="D5" s="55">
        <v>1.8206058825997566</v>
      </c>
      <c r="E5" s="54">
        <v>40520</v>
      </c>
      <c r="F5" s="267">
        <v>32221</v>
      </c>
      <c r="G5" s="55">
        <v>0.6759744891536944</v>
      </c>
      <c r="H5" s="56">
        <v>27208</v>
      </c>
      <c r="I5" s="267">
        <v>26849</v>
      </c>
      <c r="J5" s="57">
        <v>0.8332764346233823</v>
      </c>
      <c r="K5" s="55">
        <v>0.5632736122183527</v>
      </c>
      <c r="M5" s="21"/>
    </row>
    <row r="6" spans="1:14" x14ac:dyDescent="0.25">
      <c r="A6" s="476" t="s">
        <v>72</v>
      </c>
      <c r="B6" s="54">
        <v>24757</v>
      </c>
      <c r="C6" s="267">
        <v>18466</v>
      </c>
      <c r="D6" s="55">
        <v>1.3406801689591683</v>
      </c>
      <c r="E6" s="54">
        <v>17660</v>
      </c>
      <c r="F6" s="267">
        <v>14694</v>
      </c>
      <c r="G6" s="55">
        <v>0.79573269793133328</v>
      </c>
      <c r="H6" s="56">
        <v>12027</v>
      </c>
      <c r="I6" s="267">
        <v>11981</v>
      </c>
      <c r="J6" s="57">
        <v>0.81536681638764119</v>
      </c>
      <c r="K6" s="55">
        <v>0.64881403660781978</v>
      </c>
      <c r="M6" s="21"/>
    </row>
    <row r="7" spans="1:14" x14ac:dyDescent="0.25">
      <c r="A7" s="476" t="s">
        <v>76</v>
      </c>
      <c r="B7" s="54">
        <v>4031</v>
      </c>
      <c r="C7" s="267">
        <v>3218</v>
      </c>
      <c r="D7" s="55">
        <v>1.2526413921690491</v>
      </c>
      <c r="E7" s="54">
        <v>1259</v>
      </c>
      <c r="F7" s="267">
        <v>1197</v>
      </c>
      <c r="G7" s="55">
        <v>0.37197016780609071</v>
      </c>
      <c r="H7" s="56">
        <v>962</v>
      </c>
      <c r="I7" s="267">
        <v>962</v>
      </c>
      <c r="J7" s="57">
        <v>0.80367585630743521</v>
      </c>
      <c r="K7" s="55">
        <v>0.29894344313238036</v>
      </c>
      <c r="M7" s="21"/>
    </row>
    <row r="8" spans="1:14" x14ac:dyDescent="0.25">
      <c r="A8" s="476" t="s">
        <v>77</v>
      </c>
      <c r="B8" s="54">
        <v>4683</v>
      </c>
      <c r="C8" s="267">
        <v>4404</v>
      </c>
      <c r="D8" s="55">
        <v>1.0633514986376023</v>
      </c>
      <c r="E8" s="54">
        <v>1367</v>
      </c>
      <c r="F8" s="267">
        <v>1348</v>
      </c>
      <c r="G8" s="55">
        <v>0.3060853769300636</v>
      </c>
      <c r="H8" s="56">
        <v>1245</v>
      </c>
      <c r="I8" s="267">
        <v>1244</v>
      </c>
      <c r="J8" s="57">
        <v>0.9228486646884273</v>
      </c>
      <c r="K8" s="55">
        <v>0.28247048138056313</v>
      </c>
      <c r="M8" s="21"/>
    </row>
    <row r="9" spans="1:14" ht="15.75" thickBot="1" x14ac:dyDescent="0.3">
      <c r="A9" s="477" t="s">
        <v>74</v>
      </c>
      <c r="B9" s="58">
        <v>10943</v>
      </c>
      <c r="C9" s="268">
        <v>6969</v>
      </c>
      <c r="D9" s="59">
        <v>1.5702396326589181</v>
      </c>
      <c r="E9" s="58">
        <v>4569</v>
      </c>
      <c r="F9" s="268">
        <v>3785</v>
      </c>
      <c r="G9" s="59">
        <v>0.54311952934423879</v>
      </c>
      <c r="H9" s="60">
        <v>3343</v>
      </c>
      <c r="I9" s="268">
        <v>3318</v>
      </c>
      <c r="J9" s="61">
        <v>0.87661822985468951</v>
      </c>
      <c r="K9" s="59">
        <v>0.47610848041325871</v>
      </c>
      <c r="L9" s="19"/>
      <c r="M9" s="20"/>
    </row>
    <row r="10" spans="1:14" ht="15.75" thickBot="1" x14ac:dyDescent="0.3">
      <c r="A10" s="478" t="s">
        <v>108</v>
      </c>
      <c r="B10" s="269">
        <v>144038</v>
      </c>
      <c r="C10" s="270">
        <v>73059</v>
      </c>
      <c r="D10" s="271">
        <v>1.971529859428681</v>
      </c>
      <c r="E10" s="269">
        <v>73594</v>
      </c>
      <c r="F10" s="270">
        <v>55602</v>
      </c>
      <c r="G10" s="271">
        <v>0.76105613271465533</v>
      </c>
      <c r="H10" s="272">
        <v>49758</v>
      </c>
      <c r="I10" s="270">
        <v>49146</v>
      </c>
      <c r="J10" s="273">
        <v>0.88388906873853457</v>
      </c>
      <c r="K10" s="271">
        <v>0.67268919640290725</v>
      </c>
      <c r="L10" s="19"/>
      <c r="M10" s="20"/>
    </row>
    <row r="12" spans="1:14" x14ac:dyDescent="0.25">
      <c r="K12" s="37" t="s">
        <v>28</v>
      </c>
    </row>
  </sheetData>
  <mergeCells count="1">
    <mergeCell ref="A1:K1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activeCell="K27" sqref="K27"/>
    </sheetView>
  </sheetViews>
  <sheetFormatPr defaultRowHeight="15" x14ac:dyDescent="0.25"/>
  <cols>
    <col min="1" max="1" width="8.140625" customWidth="1"/>
    <col min="2" max="7" width="10.7109375" customWidth="1"/>
  </cols>
  <sheetData>
    <row r="1" spans="1:7" ht="89.25" customHeight="1" thickBot="1" x14ac:dyDescent="0.3">
      <c r="A1" s="978" t="s">
        <v>183</v>
      </c>
      <c r="B1" s="978"/>
      <c r="C1" s="978"/>
      <c r="D1" s="978"/>
      <c r="E1" s="978"/>
      <c r="F1" s="978"/>
      <c r="G1" s="978"/>
    </row>
    <row r="2" spans="1:7" x14ac:dyDescent="0.25">
      <c r="A2" s="979" t="s">
        <v>109</v>
      </c>
      <c r="B2" s="981" t="s">
        <v>63</v>
      </c>
      <c r="C2" s="947"/>
      <c r="D2" s="981" t="s">
        <v>66</v>
      </c>
      <c r="E2" s="947"/>
      <c r="F2" s="981" t="s">
        <v>69</v>
      </c>
      <c r="G2" s="947"/>
    </row>
    <row r="3" spans="1:7" ht="15.75" thickBot="1" x14ac:dyDescent="0.3">
      <c r="A3" s="980"/>
      <c r="B3" s="183" t="s">
        <v>78</v>
      </c>
      <c r="C3" s="184" t="s">
        <v>79</v>
      </c>
      <c r="D3" s="183" t="s">
        <v>78</v>
      </c>
      <c r="E3" s="184" t="s">
        <v>79</v>
      </c>
      <c r="F3" s="183" t="s">
        <v>78</v>
      </c>
      <c r="G3" s="184" t="s">
        <v>79</v>
      </c>
    </row>
    <row r="4" spans="1:7" ht="15.75" thickBot="1" x14ac:dyDescent="0.3">
      <c r="A4" s="972" t="s">
        <v>80</v>
      </c>
      <c r="B4" s="973"/>
      <c r="C4" s="973"/>
      <c r="D4" s="973"/>
      <c r="E4" s="973"/>
      <c r="F4" s="973"/>
      <c r="G4" s="974"/>
    </row>
    <row r="5" spans="1:7" x14ac:dyDescent="0.25">
      <c r="A5" s="274" t="s">
        <v>110</v>
      </c>
      <c r="B5" s="275">
        <v>40107</v>
      </c>
      <c r="C5" s="276">
        <f>+B5/SUM(B$5:B$14)</f>
        <v>0.76117363496612322</v>
      </c>
      <c r="D5" s="275">
        <v>29896</v>
      </c>
      <c r="E5" s="276">
        <f>+D5/SUM(D$5:D$14)</f>
        <v>0.78956264525670827</v>
      </c>
      <c r="F5" s="275">
        <v>27015</v>
      </c>
      <c r="G5" s="276">
        <f>+F5/SUM(F$5:F$14)</f>
        <v>0.79563527124933731</v>
      </c>
    </row>
    <row r="6" spans="1:7" x14ac:dyDescent="0.25">
      <c r="A6" s="233" t="s">
        <v>81</v>
      </c>
      <c r="B6" s="277">
        <v>11202</v>
      </c>
      <c r="C6" s="278">
        <f t="shared" ref="C6:E14" si="0">+B6/SUM(B$5:B$14)</f>
        <v>0.21259797688409784</v>
      </c>
      <c r="D6" s="277">
        <v>7133</v>
      </c>
      <c r="E6" s="278">
        <f t="shared" si="0"/>
        <v>0.18838474540460595</v>
      </c>
      <c r="F6" s="277">
        <v>6261</v>
      </c>
      <c r="G6" s="278">
        <f t="shared" ref="G6:G14" si="1">+F6/SUM(F$5:F$14)</f>
        <v>0.18439653649054602</v>
      </c>
    </row>
    <row r="7" spans="1:7" x14ac:dyDescent="0.25">
      <c r="A7" s="233" t="s">
        <v>82</v>
      </c>
      <c r="B7" s="277">
        <v>793</v>
      </c>
      <c r="C7" s="278">
        <f t="shared" si="0"/>
        <v>1.5050008540357936E-2</v>
      </c>
      <c r="D7" s="277">
        <v>472</v>
      </c>
      <c r="E7" s="278">
        <f t="shared" si="0"/>
        <v>1.2465666596239171E-2</v>
      </c>
      <c r="F7" s="277">
        <v>383</v>
      </c>
      <c r="G7" s="278">
        <f t="shared" si="1"/>
        <v>1.1279967014195676E-2</v>
      </c>
    </row>
    <row r="8" spans="1:7" x14ac:dyDescent="0.25">
      <c r="A8" s="233" t="s">
        <v>83</v>
      </c>
      <c r="B8" s="277">
        <v>319</v>
      </c>
      <c r="C8" s="278">
        <f t="shared" si="0"/>
        <v>6.0541648478867355E-3</v>
      </c>
      <c r="D8" s="277">
        <v>181</v>
      </c>
      <c r="E8" s="278">
        <f t="shared" si="0"/>
        <v>4.7802662159306996E-3</v>
      </c>
      <c r="F8" s="277">
        <v>145</v>
      </c>
      <c r="G8" s="278">
        <f t="shared" si="1"/>
        <v>4.2704835954526709E-3</v>
      </c>
    </row>
    <row r="9" spans="1:7" x14ac:dyDescent="0.25">
      <c r="A9" s="233" t="s">
        <v>84</v>
      </c>
      <c r="B9" s="277">
        <v>140</v>
      </c>
      <c r="C9" s="278">
        <f t="shared" si="0"/>
        <v>2.6570002467214515E-3</v>
      </c>
      <c r="D9" s="277">
        <v>87</v>
      </c>
      <c r="E9" s="278">
        <f t="shared" si="0"/>
        <v>2.2976970209169661E-3</v>
      </c>
      <c r="F9" s="277">
        <v>67</v>
      </c>
      <c r="G9" s="278">
        <f t="shared" si="1"/>
        <v>1.9732579372091653E-3</v>
      </c>
    </row>
    <row r="10" spans="1:7" x14ac:dyDescent="0.25">
      <c r="A10" s="233" t="s">
        <v>85</v>
      </c>
      <c r="B10" s="277">
        <v>66</v>
      </c>
      <c r="C10" s="278">
        <f t="shared" si="0"/>
        <v>1.2525858305972558E-3</v>
      </c>
      <c r="D10" s="277">
        <v>46</v>
      </c>
      <c r="E10" s="278">
        <f t="shared" si="0"/>
        <v>1.2148742869216142E-3</v>
      </c>
      <c r="F10" s="277">
        <v>39</v>
      </c>
      <c r="G10" s="278">
        <f t="shared" si="1"/>
        <v>1.1486128291217531E-3</v>
      </c>
    </row>
    <row r="11" spans="1:7" x14ac:dyDescent="0.25">
      <c r="A11" s="233" t="s">
        <v>86</v>
      </c>
      <c r="B11" s="277">
        <v>41</v>
      </c>
      <c r="C11" s="278">
        <f t="shared" si="0"/>
        <v>7.7812150082556797E-4</v>
      </c>
      <c r="D11" s="277">
        <v>30</v>
      </c>
      <c r="E11" s="278">
        <f t="shared" si="0"/>
        <v>7.9230931755757447E-4</v>
      </c>
      <c r="F11" s="277">
        <v>27</v>
      </c>
      <c r="G11" s="278">
        <f t="shared" si="1"/>
        <v>7.9519349708429053E-4</v>
      </c>
    </row>
    <row r="12" spans="1:7" x14ac:dyDescent="0.25">
      <c r="A12" s="233" t="s">
        <v>87</v>
      </c>
      <c r="B12" s="277">
        <v>16</v>
      </c>
      <c r="C12" s="278">
        <f t="shared" si="0"/>
        <v>3.0365717105388019E-4</v>
      </c>
      <c r="D12" s="277">
        <v>15</v>
      </c>
      <c r="E12" s="278">
        <f t="shared" si="0"/>
        <v>3.9615465877878723E-4</v>
      </c>
      <c r="F12" s="277">
        <v>13</v>
      </c>
      <c r="G12" s="278">
        <f t="shared" si="1"/>
        <v>3.8287094304058431E-4</v>
      </c>
    </row>
    <row r="13" spans="1:7" x14ac:dyDescent="0.25">
      <c r="A13" s="233" t="s">
        <v>88</v>
      </c>
      <c r="B13" s="277">
        <v>3</v>
      </c>
      <c r="C13" s="278">
        <f t="shared" si="0"/>
        <v>5.6935719572602529E-5</v>
      </c>
      <c r="D13" s="277">
        <v>2</v>
      </c>
      <c r="E13" s="278">
        <f t="shared" si="0"/>
        <v>5.2820621170504965E-5</v>
      </c>
      <c r="F13" s="277">
        <v>2</v>
      </c>
      <c r="G13" s="278">
        <f t="shared" si="1"/>
        <v>5.890322200624374E-5</v>
      </c>
    </row>
    <row r="14" spans="1:7" ht="15.75" thickBot="1" x14ac:dyDescent="0.3">
      <c r="A14" s="237" t="s">
        <v>111</v>
      </c>
      <c r="B14" s="279">
        <v>4</v>
      </c>
      <c r="C14" s="280">
        <f t="shared" si="0"/>
        <v>7.5914292763470048E-5</v>
      </c>
      <c r="D14" s="279">
        <v>2</v>
      </c>
      <c r="E14" s="280">
        <f t="shared" si="0"/>
        <v>5.2820621170504965E-5</v>
      </c>
      <c r="F14" s="279">
        <v>2</v>
      </c>
      <c r="G14" s="280">
        <f t="shared" si="1"/>
        <v>5.890322200624374E-5</v>
      </c>
    </row>
    <row r="15" spans="1:7" ht="15.75" thickBot="1" x14ac:dyDescent="0.3">
      <c r="A15" s="972" t="s">
        <v>89</v>
      </c>
      <c r="B15" s="973"/>
      <c r="C15" s="973"/>
      <c r="D15" s="973"/>
      <c r="E15" s="973"/>
      <c r="F15" s="973"/>
      <c r="G15" s="974"/>
    </row>
    <row r="16" spans="1:7" x14ac:dyDescent="0.25">
      <c r="A16" s="274" t="s">
        <v>110</v>
      </c>
      <c r="B16" s="275">
        <v>4158</v>
      </c>
      <c r="C16" s="276">
        <f>+B16/SUM(B$16:B$25)</f>
        <v>0.17717743310039202</v>
      </c>
      <c r="D16" s="275">
        <v>3795</v>
      </c>
      <c r="E16" s="276">
        <f>+D16/SUM(D$16:D$25)</f>
        <v>0.19960027349708095</v>
      </c>
      <c r="F16" s="275">
        <v>2558</v>
      </c>
      <c r="G16" s="276">
        <f>+F16/SUM(F$16:F$25)</f>
        <v>0.16688413361169102</v>
      </c>
    </row>
    <row r="17" spans="1:7" x14ac:dyDescent="0.25">
      <c r="A17" s="233" t="s">
        <v>81</v>
      </c>
      <c r="B17" s="277">
        <v>7595</v>
      </c>
      <c r="C17" s="278">
        <f t="shared" ref="C17:E25" si="2">+B17/SUM(B$16:B$25)</f>
        <v>0.32363217998977328</v>
      </c>
      <c r="D17" s="277">
        <v>5819</v>
      </c>
      <c r="E17" s="278">
        <f t="shared" si="2"/>
        <v>0.3060537526955241</v>
      </c>
      <c r="F17" s="277">
        <v>4760</v>
      </c>
      <c r="G17" s="278">
        <f t="shared" ref="G17:G25" si="3">+F17/SUM(F$16:F$25)</f>
        <v>0.31054279749478081</v>
      </c>
    </row>
    <row r="18" spans="1:7" x14ac:dyDescent="0.25">
      <c r="A18" s="233" t="s">
        <v>82</v>
      </c>
      <c r="B18" s="277">
        <v>4361</v>
      </c>
      <c r="C18" s="278">
        <f t="shared" si="2"/>
        <v>0.18582750980057952</v>
      </c>
      <c r="D18" s="277">
        <v>3364</v>
      </c>
      <c r="E18" s="278">
        <f t="shared" si="2"/>
        <v>0.17693157313417135</v>
      </c>
      <c r="F18" s="277">
        <v>2819</v>
      </c>
      <c r="G18" s="278">
        <f t="shared" si="3"/>
        <v>0.18391179540709812</v>
      </c>
    </row>
    <row r="19" spans="1:7" x14ac:dyDescent="0.25">
      <c r="A19" s="233" t="s">
        <v>83</v>
      </c>
      <c r="B19" s="277">
        <v>3352</v>
      </c>
      <c r="C19" s="278">
        <f t="shared" si="2"/>
        <v>0.14283279359127321</v>
      </c>
      <c r="D19" s="277">
        <v>2720</v>
      </c>
      <c r="E19" s="278">
        <f t="shared" si="2"/>
        <v>0.14306001157103035</v>
      </c>
      <c r="F19" s="277">
        <v>2342</v>
      </c>
      <c r="G19" s="278">
        <f t="shared" si="3"/>
        <v>0.15279227557411273</v>
      </c>
    </row>
    <row r="20" spans="1:7" x14ac:dyDescent="0.25">
      <c r="A20" s="233" t="s">
        <v>84</v>
      </c>
      <c r="B20" s="277">
        <v>2047</v>
      </c>
      <c r="C20" s="278">
        <f t="shared" si="2"/>
        <v>8.7225157661496508E-2</v>
      </c>
      <c r="D20" s="277">
        <v>1679</v>
      </c>
      <c r="E20" s="278">
        <f t="shared" si="2"/>
        <v>8.8307999789617633E-2</v>
      </c>
      <c r="F20" s="277">
        <v>1484</v>
      </c>
      <c r="G20" s="278">
        <f t="shared" si="3"/>
        <v>9.6816283924843427E-2</v>
      </c>
    </row>
    <row r="21" spans="1:7" x14ac:dyDescent="0.25">
      <c r="A21" s="233" t="s">
        <v>85</v>
      </c>
      <c r="B21" s="277">
        <v>1157</v>
      </c>
      <c r="C21" s="278">
        <f t="shared" si="2"/>
        <v>4.9301176069541507E-2</v>
      </c>
      <c r="D21" s="277">
        <v>973</v>
      </c>
      <c r="E21" s="278">
        <f t="shared" si="2"/>
        <v>5.1175511492136956E-2</v>
      </c>
      <c r="F21" s="277">
        <v>819</v>
      </c>
      <c r="G21" s="278">
        <f t="shared" si="3"/>
        <v>5.3431628392484345E-2</v>
      </c>
    </row>
    <row r="22" spans="1:7" x14ac:dyDescent="0.25">
      <c r="A22" s="233" t="s">
        <v>86</v>
      </c>
      <c r="B22" s="277">
        <v>571</v>
      </c>
      <c r="C22" s="278">
        <f t="shared" si="2"/>
        <v>2.4331003920231804E-2</v>
      </c>
      <c r="D22" s="277">
        <v>478</v>
      </c>
      <c r="E22" s="278">
        <f t="shared" si="2"/>
        <v>2.5140693209909009E-2</v>
      </c>
      <c r="F22" s="277">
        <v>402</v>
      </c>
      <c r="G22" s="278">
        <f t="shared" si="3"/>
        <v>2.6226513569937368E-2</v>
      </c>
    </row>
    <row r="23" spans="1:7" x14ac:dyDescent="0.25">
      <c r="A23" s="233" t="s">
        <v>87</v>
      </c>
      <c r="B23" s="277">
        <v>198</v>
      </c>
      <c r="C23" s="278">
        <f t="shared" si="2"/>
        <v>8.4370206238281922E-3</v>
      </c>
      <c r="D23" s="277">
        <v>161</v>
      </c>
      <c r="E23" s="278">
        <f t="shared" si="2"/>
        <v>8.4678903907852519E-3</v>
      </c>
      <c r="F23" s="277">
        <v>124</v>
      </c>
      <c r="G23" s="278">
        <f t="shared" si="3"/>
        <v>8.0897703549060538E-3</v>
      </c>
    </row>
    <row r="24" spans="1:7" x14ac:dyDescent="0.25">
      <c r="A24" s="233" t="s">
        <v>88</v>
      </c>
      <c r="B24" s="277">
        <v>24</v>
      </c>
      <c r="C24" s="278">
        <f t="shared" si="2"/>
        <v>1.0226691665246293E-3</v>
      </c>
      <c r="D24" s="277">
        <v>20</v>
      </c>
      <c r="E24" s="278">
        <f t="shared" si="2"/>
        <v>1.0519118497869879E-3</v>
      </c>
      <c r="F24" s="277">
        <v>17</v>
      </c>
      <c r="G24" s="278">
        <f t="shared" si="3"/>
        <v>1.1090814196242171E-3</v>
      </c>
    </row>
    <row r="25" spans="1:7" ht="15.75" thickBot="1" x14ac:dyDescent="0.3">
      <c r="A25" s="237" t="s">
        <v>111</v>
      </c>
      <c r="B25" s="279">
        <v>5</v>
      </c>
      <c r="C25" s="280">
        <f t="shared" si="2"/>
        <v>2.1305607635929778E-4</v>
      </c>
      <c r="D25" s="279">
        <v>4</v>
      </c>
      <c r="E25" s="280">
        <f t="shared" si="2"/>
        <v>2.1038236995739757E-4</v>
      </c>
      <c r="F25" s="279">
        <v>3</v>
      </c>
      <c r="G25" s="280">
        <f t="shared" si="3"/>
        <v>1.9572025052192068E-4</v>
      </c>
    </row>
    <row r="26" spans="1:7" ht="15.75" thickBot="1" x14ac:dyDescent="0.3">
      <c r="A26" s="975" t="s">
        <v>90</v>
      </c>
      <c r="B26" s="976"/>
      <c r="C26" s="976"/>
      <c r="D26" s="976"/>
      <c r="E26" s="976"/>
      <c r="F26" s="976"/>
      <c r="G26" s="977"/>
    </row>
    <row r="27" spans="1:7" x14ac:dyDescent="0.25">
      <c r="A27" s="274" t="s">
        <v>110</v>
      </c>
      <c r="B27" s="275">
        <v>42243</v>
      </c>
      <c r="C27" s="276">
        <f>+B27/SUM(B$27:B$36)</f>
        <v>0.57820391738184207</v>
      </c>
      <c r="D27" s="275">
        <v>32744</v>
      </c>
      <c r="E27" s="276">
        <f>+D27/SUM(D$27:D$36)</f>
        <v>0.5888996798676307</v>
      </c>
      <c r="F27" s="275">
        <v>29470</v>
      </c>
      <c r="G27" s="276">
        <f>+F27/SUM(F$27:F$36)</f>
        <v>0.59964188336792412</v>
      </c>
    </row>
    <row r="28" spans="1:7" x14ac:dyDescent="0.25">
      <c r="A28" s="233" t="s">
        <v>81</v>
      </c>
      <c r="B28" s="277">
        <v>17875</v>
      </c>
      <c r="C28" s="278">
        <f t="shared" ref="C28:E36" si="4">+B28/SUM(B$27:B$36)</f>
        <v>0.24466527053477327</v>
      </c>
      <c r="D28" s="277">
        <v>12669</v>
      </c>
      <c r="E28" s="278">
        <f t="shared" si="4"/>
        <v>0.22785151613251323</v>
      </c>
      <c r="F28" s="277">
        <v>10994</v>
      </c>
      <c r="G28" s="278">
        <f t="shared" ref="G28:G36" si="5">+F28/SUM(F$27:F$36)</f>
        <v>0.22370080983192936</v>
      </c>
    </row>
    <row r="29" spans="1:7" x14ac:dyDescent="0.25">
      <c r="A29" s="233" t="s">
        <v>82</v>
      </c>
      <c r="B29" s="277">
        <v>5071</v>
      </c>
      <c r="C29" s="278">
        <f t="shared" si="4"/>
        <v>6.9409655210172602E-2</v>
      </c>
      <c r="D29" s="277">
        <v>3812</v>
      </c>
      <c r="E29" s="278">
        <f t="shared" si="4"/>
        <v>6.8558684939390671E-2</v>
      </c>
      <c r="F29" s="277">
        <v>3198</v>
      </c>
      <c r="G29" s="278">
        <f t="shared" si="5"/>
        <v>6.5071419851056037E-2</v>
      </c>
    </row>
    <row r="30" spans="1:7" x14ac:dyDescent="0.25">
      <c r="A30" s="233" t="s">
        <v>83</v>
      </c>
      <c r="B30" s="277">
        <v>3627</v>
      </c>
      <c r="C30" s="278">
        <f t="shared" si="4"/>
        <v>4.964480762123763E-2</v>
      </c>
      <c r="D30" s="277">
        <v>2889</v>
      </c>
      <c r="E30" s="278">
        <f t="shared" si="4"/>
        <v>5.1958562641631595E-2</v>
      </c>
      <c r="F30" s="277">
        <v>2487</v>
      </c>
      <c r="G30" s="278">
        <f t="shared" si="5"/>
        <v>5.0604321816628009E-2</v>
      </c>
    </row>
    <row r="31" spans="1:7" x14ac:dyDescent="0.25">
      <c r="A31" s="233" t="s">
        <v>84</v>
      </c>
      <c r="B31" s="277">
        <v>2169</v>
      </c>
      <c r="C31" s="278">
        <f t="shared" si="4"/>
        <v>2.968833408614955E-2</v>
      </c>
      <c r="D31" s="277">
        <v>1759</v>
      </c>
      <c r="E31" s="278">
        <f t="shared" si="4"/>
        <v>3.1635552677961226E-2</v>
      </c>
      <c r="F31" s="277">
        <v>1550</v>
      </c>
      <c r="G31" s="278">
        <f t="shared" si="5"/>
        <v>3.1538680665771375E-2</v>
      </c>
    </row>
    <row r="32" spans="1:7" x14ac:dyDescent="0.25">
      <c r="A32" s="233" t="s">
        <v>85</v>
      </c>
      <c r="B32" s="277">
        <v>1214</v>
      </c>
      <c r="C32" s="278">
        <f t="shared" si="4"/>
        <v>1.6616707044991033E-2</v>
      </c>
      <c r="D32" s="277">
        <v>1017</v>
      </c>
      <c r="E32" s="278">
        <f t="shared" si="4"/>
        <v>1.8290708967303334E-2</v>
      </c>
      <c r="F32" s="277">
        <v>857</v>
      </c>
      <c r="G32" s="278">
        <f t="shared" si="5"/>
        <v>1.743783827778456E-2</v>
      </c>
    </row>
    <row r="33" spans="1:8" x14ac:dyDescent="0.25">
      <c r="A33" s="233" t="s">
        <v>86</v>
      </c>
      <c r="B33" s="277">
        <v>610</v>
      </c>
      <c r="C33" s="278">
        <f t="shared" si="4"/>
        <v>8.3494162252426129E-3</v>
      </c>
      <c r="D33" s="277">
        <v>508</v>
      </c>
      <c r="E33" s="278">
        <f t="shared" si="4"/>
        <v>9.1363620013668566E-3</v>
      </c>
      <c r="F33" s="277">
        <v>429</v>
      </c>
      <c r="G33" s="278">
        <f t="shared" si="5"/>
        <v>8.7290929068489804E-3</v>
      </c>
    </row>
    <row r="34" spans="1:8" x14ac:dyDescent="0.25">
      <c r="A34" s="233" t="s">
        <v>87</v>
      </c>
      <c r="B34" s="277">
        <v>214</v>
      </c>
      <c r="C34" s="278">
        <f t="shared" si="4"/>
        <v>2.9291394626260966E-3</v>
      </c>
      <c r="D34" s="277">
        <v>176</v>
      </c>
      <c r="E34" s="278">
        <f t="shared" si="4"/>
        <v>3.1653537642530845E-3</v>
      </c>
      <c r="F34" s="277">
        <v>137</v>
      </c>
      <c r="G34" s="278">
        <f t="shared" si="5"/>
        <v>2.7876124201359214E-3</v>
      </c>
    </row>
    <row r="35" spans="1:8" x14ac:dyDescent="0.25">
      <c r="A35" s="233" t="s">
        <v>88</v>
      </c>
      <c r="B35" s="277">
        <v>27</v>
      </c>
      <c r="C35" s="278">
        <f t="shared" si="4"/>
        <v>3.6956432472385334E-4</v>
      </c>
      <c r="D35" s="277">
        <v>22</v>
      </c>
      <c r="E35" s="278">
        <f t="shared" si="4"/>
        <v>3.9566922053163556E-4</v>
      </c>
      <c r="F35" s="277">
        <v>19</v>
      </c>
      <c r="G35" s="278">
        <f t="shared" si="5"/>
        <v>3.8660318235461688E-4</v>
      </c>
    </row>
    <row r="36" spans="1:8" ht="15.75" thickBot="1" x14ac:dyDescent="0.3">
      <c r="A36" s="237" t="s">
        <v>111</v>
      </c>
      <c r="B36" s="279">
        <v>9</v>
      </c>
      <c r="C36" s="280">
        <f t="shared" si="4"/>
        <v>1.2318810824128444E-4</v>
      </c>
      <c r="D36" s="279">
        <v>6</v>
      </c>
      <c r="E36" s="280">
        <f t="shared" si="4"/>
        <v>1.0790978741771878E-4</v>
      </c>
      <c r="F36" s="279">
        <v>5</v>
      </c>
      <c r="G36" s="280">
        <f t="shared" si="5"/>
        <v>1.0173767956700444E-4</v>
      </c>
      <c r="H36" s="74"/>
    </row>
    <row r="37" spans="1:8" x14ac:dyDescent="0.25">
      <c r="A37" s="118"/>
      <c r="B37" s="118"/>
      <c r="C37" s="118"/>
      <c r="D37" s="118"/>
      <c r="E37" s="118"/>
      <c r="F37" s="118"/>
      <c r="G37" s="118"/>
    </row>
    <row r="38" spans="1:8" x14ac:dyDescent="0.25">
      <c r="A38" s="118"/>
      <c r="B38" s="118"/>
      <c r="C38" s="118"/>
      <c r="D38" s="118"/>
      <c r="E38" s="118"/>
      <c r="F38" s="118"/>
      <c r="G38" s="281" t="s">
        <v>28</v>
      </c>
    </row>
  </sheetData>
  <mergeCells count="8">
    <mergeCell ref="A15:G15"/>
    <mergeCell ref="A26:G26"/>
    <mergeCell ref="A1:G1"/>
    <mergeCell ref="A2:A3"/>
    <mergeCell ref="B2:C2"/>
    <mergeCell ref="D2:E2"/>
    <mergeCell ref="F2:G2"/>
    <mergeCell ref="A4:G4"/>
  </mergeCells>
  <phoneticPr fontId="49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39</vt:i4>
      </vt:variant>
      <vt:variant>
        <vt:lpstr>Pomenované rozsahy</vt:lpstr>
      </vt:variant>
      <vt:variant>
        <vt:i4>3</vt:i4>
      </vt:variant>
    </vt:vector>
  </HeadingPairs>
  <TitlesOfParts>
    <vt:vector size="42" baseType="lpstr">
      <vt:lpstr>obal</vt:lpstr>
      <vt:lpstr>zoznam</vt:lpstr>
      <vt:lpstr>T1-počet študentov</vt:lpstr>
      <vt:lpstr>T2-študenti podľa odborov</vt:lpstr>
      <vt:lpstr>T3-podiel škol</vt:lpstr>
      <vt:lpstr>T4-abs podľa odborov</vt:lpstr>
      <vt:lpstr>T5-abs podiel skol</vt:lpstr>
      <vt:lpstr>T6-PKIpo odboroch</vt:lpstr>
      <vt:lpstr>T7-PKIvek</vt:lpstr>
      <vt:lpstr>T8-PK maturanti</vt:lpstr>
      <vt:lpstr>T9-PK II. stupen</vt:lpstr>
      <vt:lpstr>T10-Platy</vt:lpstr>
      <vt:lpstr>T11-profesori</vt:lpstr>
      <vt:lpstr>T12a-VVŠ VEGA</vt:lpstr>
      <vt:lpstr>T12b-komisie VEGA</vt:lpstr>
      <vt:lpstr>T13-VVŠ KEGA</vt:lpstr>
      <vt:lpstr>T14a-VVŠ_ŠP</vt:lpstr>
      <vt:lpstr>T14b-SVV ŠP</vt:lpstr>
      <vt:lpstr>T15a-VVŠ APVV</vt:lpstr>
      <vt:lpstr>T15b-SVV APVV</vt:lpstr>
      <vt:lpstr>T16-VVŠ ZG</vt:lpstr>
      <vt:lpstr>T17-soc.štip 2009,2010</vt:lpstr>
      <vt:lpstr>T18-Ubytovanie 2009,2010</vt:lpstr>
      <vt:lpstr>T19a-Súvaha A 2010</vt:lpstr>
      <vt:lpstr>T19b-Súvaha P 2010</vt:lpstr>
      <vt:lpstr>T20-Výnosy 2010</vt:lpstr>
      <vt:lpstr>T21-Výnosy porovnanie</vt:lpstr>
      <vt:lpstr>T22-Náklady 2010</vt:lpstr>
      <vt:lpstr>T23-Náklady porovnanie</vt:lpstr>
      <vt:lpstr>T24-VH 2010</vt:lpstr>
      <vt:lpstr>T25-výnosy so o porovnanie</vt:lpstr>
      <vt:lpstr>T26-náklady soc o porovnanie</vt:lpstr>
      <vt:lpstr>T27-VH soc.star. 2010</vt:lpstr>
      <vt:lpstr>T28-381 rok 2010</vt:lpstr>
      <vt:lpstr>GP1-vývojpočtu</vt:lpstr>
      <vt:lpstr>GP2 - vek I+II</vt:lpstr>
      <vt:lpstr>GP3- vek III</vt:lpstr>
      <vt:lpstr>GP4-granty</vt:lpstr>
      <vt:lpstr>GP5-GP6-výnosy a náklady</vt:lpstr>
      <vt:lpstr>'T9-PK II. stupen'!Názvy_tlače</vt:lpstr>
      <vt:lpstr>'GP1-vývojpočtu'!Oblasť_tlače</vt:lpstr>
      <vt:lpstr>'T9-PK II. stupen'!Oblasť_tlače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2011-07-15T14:04:38Z</dcterms:created>
  <dcterms:modified xsi:type="dcterms:W3CDTF">2011-07-15T14:07:58Z</dcterms:modified>
  <cp:contentStatus>Finálna verzia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