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-180" windowWidth="19320" windowHeight="11925" tabRatio="1000"/>
  </bookViews>
  <sheets>
    <sheet name="obal" sheetId="108" r:id="rId1"/>
    <sheet name="zoznam tabuliek" sheetId="107" r:id="rId2"/>
    <sheet name="skratky VŠ" sheetId="47" r:id="rId3"/>
    <sheet name="T1-počet študentov" sheetId="1" r:id="rId4"/>
    <sheet name="T2-študenti podľa odborov" sheetId="2" r:id="rId5"/>
    <sheet name="T3-podiel škol" sheetId="3" r:id="rId6"/>
    <sheet name="T4-abs podľa odborov" sheetId="4" r:id="rId7"/>
    <sheet name="T5-abs podiel skol" sheetId="5" r:id="rId8"/>
    <sheet name="T6-PKIpo odboroch" sheetId="6" r:id="rId9"/>
    <sheet name="T7-PKIvek" sheetId="7" r:id="rId10"/>
    <sheet name="T8-PK maturanti" sheetId="9" r:id="rId11"/>
    <sheet name="T9-PK II. stupen" sheetId="10" r:id="rId12"/>
    <sheet name="T10-Platy" sheetId="48" r:id="rId13"/>
    <sheet name="T11-profesori" sheetId="50" r:id="rId14"/>
    <sheet name="T12a-VVŠ VEGA" sheetId="51" r:id="rId15"/>
    <sheet name="T12b-komisie VEGA" sheetId="52" r:id="rId16"/>
    <sheet name="T13-VVŠ KEGA" sheetId="53" r:id="rId17"/>
    <sheet name="T14a-VVŠ APVV" sheetId="56" r:id="rId18"/>
    <sheet name="T14b-SVV APVV" sheetId="57" r:id="rId19"/>
    <sheet name="T15-soc.štip" sheetId="60" r:id="rId20"/>
    <sheet name="T16-Ubytovanie" sheetId="61" r:id="rId21"/>
    <sheet name="T17a-Súvaha A 2011" sheetId="62" r:id="rId22"/>
    <sheet name="T 17b-Súvaha P 2011" sheetId="75" r:id="rId23"/>
    <sheet name="T18-Výnosy 2011" sheetId="64" r:id="rId24"/>
    <sheet name="T19-Výnosy porovnanie" sheetId="65" r:id="rId25"/>
    <sheet name="T20-Náklady 2011" sheetId="66" r:id="rId26"/>
    <sheet name="T21-Náklady porovnanie" sheetId="67" r:id="rId27"/>
    <sheet name="T22-VH 2011" sheetId="68" r:id="rId28"/>
    <sheet name="T23-náklady soc.star. 2011" sheetId="69" r:id="rId29"/>
    <sheet name="T24-výnosy soc.star. 2011" sheetId="70" r:id="rId30"/>
    <sheet name="T25-VH soc.star. 2011" sheetId="73" r:id="rId31"/>
    <sheet name="T26-384 rok 2011" sheetId="74" r:id="rId32"/>
  </sheets>
  <externalReferences>
    <externalReference r:id="rId33"/>
    <externalReference r:id="rId34"/>
  </externalReferences>
  <definedNames>
    <definedName name="_______kmp1">#REF!</definedName>
    <definedName name="_______kmt1">#REF!</definedName>
    <definedName name="____wd1">[1]vahy!$B$1</definedName>
    <definedName name="____wd3">[1]vahy!$B$3</definedName>
    <definedName name="____we1">[1]vahy!$B$2</definedName>
    <definedName name="____we3">[1]vahy!$B$4</definedName>
    <definedName name="__T1">#REF!</definedName>
    <definedName name="_kmp1">#REF!</definedName>
    <definedName name="_kmt1">#REF!</definedName>
    <definedName name="_T1">#REF!</definedName>
    <definedName name="_wd1">[1]vahy!$B$1</definedName>
    <definedName name="_wd3">[1]vahy!$B$3</definedName>
    <definedName name="_we1">[1]vahy!$B$2</definedName>
    <definedName name="_we3">[1]vahy!$B$4</definedName>
    <definedName name="aaa" hidden="1">3</definedName>
    <definedName name="denní" localSheetId="22">#REF!</definedName>
    <definedName name="denní">#REF!</definedName>
    <definedName name="dokpo" localSheetId="22">#REF!</definedName>
    <definedName name="dokpo">#REF!</definedName>
    <definedName name="dokpred" localSheetId="22">#REF!</definedName>
    <definedName name="dokpred">#REF!</definedName>
    <definedName name="druhý" localSheetId="22">#REF!</definedName>
    <definedName name="druhý">#REF!</definedName>
    <definedName name="exterdruhý" localSheetId="22">#REF!</definedName>
    <definedName name="exterdruhý">#REF!</definedName>
    <definedName name="externeplat" localSheetId="22">#REF!</definedName>
    <definedName name="externeplat">#REF!</definedName>
    <definedName name="exterplat" localSheetId="22">#REF!</definedName>
    <definedName name="exterplat">#REF!</definedName>
    <definedName name="KKS_doc" localSheetId="22">#REF!</definedName>
    <definedName name="KKS_doc">#REF!</definedName>
    <definedName name="KKS_ost" localSheetId="22">#REF!</definedName>
    <definedName name="KKS_ost">#REF!</definedName>
    <definedName name="KKS_phd" localSheetId="22">#REF!</definedName>
    <definedName name="KKS_phd">#REF!</definedName>
    <definedName name="KKS_prof" localSheetId="22">#REF!</definedName>
    <definedName name="KKS_prof">#REF!</definedName>
    <definedName name="__kmp1">#REF!</definedName>
    <definedName name="__kmt1">#REF!</definedName>
    <definedName name="koef_gm_mzdy" localSheetId="22">#REF!</definedName>
    <definedName name="koef_gm_mzdy">#REF!</definedName>
    <definedName name="koef_kpn" localSheetId="22">#REF!</definedName>
    <definedName name="koef_kpn">#REF!</definedName>
    <definedName name="koef_prer_nad_gm_mzdy" localSheetId="22">#REF!</definedName>
    <definedName name="koef_prer_nad_gm_mzdy">#REF!</definedName>
    <definedName name="koef_PV" localSheetId="22">#REF!</definedName>
    <definedName name="koef_PV">#REF!</definedName>
    <definedName name="koef_udr_kat1" localSheetId="22">#REF!</definedName>
    <definedName name="koef_udr_kat1">#REF!</definedName>
    <definedName name="koef_udr_kat2" localSheetId="22">#REF!</definedName>
    <definedName name="koef_udr_kat2">#REF!</definedName>
    <definedName name="koef_udr_kat3" localSheetId="22">#REF!</definedName>
    <definedName name="koef_udr_kat3">#REF!</definedName>
    <definedName name="koef_VV" localSheetId="22">#REF!</definedName>
    <definedName name="koef_VV">#REF!</definedName>
    <definedName name="kpn_ca_do" localSheetId="22">#REF!</definedName>
    <definedName name="kpn_ca_do">#REF!</definedName>
    <definedName name="kpn_ca_nad" localSheetId="22">#REF!</definedName>
    <definedName name="kpn_ca_nad">#REF!</definedName>
    <definedName name="kzk" localSheetId="22">#REF!</definedName>
    <definedName name="kzk">#REF!</definedName>
    <definedName name="kzspp" localSheetId="22">#REF!</definedName>
    <definedName name="kzspp">#REF!</definedName>
    <definedName name="l">#REF!</definedName>
    <definedName name="_xlnm.Print_Titles" localSheetId="11">'T9-PK II. stupen'!$1:$6</definedName>
    <definedName name="nefinanc">1</definedName>
    <definedName name="_xlnm.Print_Area" localSheetId="2">'skratky VŠ'!#REF!</definedName>
    <definedName name="pocet_jedal" localSheetId="22">#REF!</definedName>
    <definedName name="pocet_jedal">#REF!</definedName>
    <definedName name="podiel" localSheetId="22">#REF!</definedName>
    <definedName name="podiel">#REF!</definedName>
    <definedName name="poistné" localSheetId="22">#REF!</definedName>
    <definedName name="poistné">#REF!</definedName>
    <definedName name="Pp_DrŠ_exist" localSheetId="22">#REF!</definedName>
    <definedName name="Pp_DrŠ_exist">#REF!</definedName>
    <definedName name="Pp_DrŠ_noví" localSheetId="22">#REF!</definedName>
    <definedName name="Pp_DrŠ_noví">#REF!</definedName>
    <definedName name="Pp_DrŠ_spolu" localSheetId="22">#REF!</definedName>
    <definedName name="Pp_DrŠ_spolu">#REF!</definedName>
    <definedName name="Pp_klinické_TaS" localSheetId="22">#REF!</definedName>
    <definedName name="Pp_klinické_TaS">#REF!</definedName>
    <definedName name="Pp_klinické_TaS_rozpísaný" localSheetId="22">#REF!</definedName>
    <definedName name="Pp_klinické_TaS_rozpísaný">#REF!</definedName>
    <definedName name="Pp_Rozvoj_BD" localSheetId="22">#REF!</definedName>
    <definedName name="Pp_Rozvoj_BD">#REF!</definedName>
    <definedName name="Pp_Soc_BD" localSheetId="22">#REF!</definedName>
    <definedName name="Pp_Soc_BD">#REF!</definedName>
    <definedName name="Pp_VaT_BD" localSheetId="22">#REF!</definedName>
    <definedName name="Pp_VaT_BD">#REF!</definedName>
    <definedName name="Pp_VaT_mzdy" localSheetId="22">#REF!</definedName>
    <definedName name="Pp_VaT_mzdy">#REF!</definedName>
    <definedName name="Pp_VaT_mzdy_rezerva" localSheetId="22">#REF!</definedName>
    <definedName name="Pp_VaT_mzdy_rezerva">#REF!</definedName>
    <definedName name="Pp_VaT_mzdy_zac_roka" localSheetId="22">#REF!</definedName>
    <definedName name="Pp_VaT_mzdy_zac_roka">#REF!</definedName>
    <definedName name="Pp_Vzdel_BD" localSheetId="22">#REF!</definedName>
    <definedName name="Pp_Vzdel_BD">#REF!</definedName>
    <definedName name="Pp_Vzdel_mzdy" localSheetId="22">#REF!</definedName>
    <definedName name="Pp_Vzdel_mzdy">#REF!</definedName>
    <definedName name="Pp_Vzdel_mzdy_kontr" localSheetId="22">#REF!</definedName>
    <definedName name="Pp_Vzdel_mzdy_kontr">#REF!</definedName>
    <definedName name="Pp_Vzdel_mzdy_na_prer_modif" localSheetId="22">#REF!</definedName>
    <definedName name="Pp_Vzdel_mzdy_na_prer_modif">#REF!</definedName>
    <definedName name="Pp_Vzdel_mzdy_na_prer_nemodif" localSheetId="22">#REF!</definedName>
    <definedName name="Pp_Vzdel_mzdy_na_prer_nemodif">#REF!</definedName>
    <definedName name="Pp_Vzdel_mzdy_prevádz" localSheetId="22">#REF!</definedName>
    <definedName name="Pp_Vzdel_mzdy_prevádz">#REF!</definedName>
    <definedName name="Pp_Vzdel_mzdy_rezerva" localSheetId="22">#REF!</definedName>
    <definedName name="Pp_Vzdel_mzdy_rezerva">#REF!</definedName>
    <definedName name="Pp_Vzdel_mzdy_spec" localSheetId="22">#REF!</definedName>
    <definedName name="Pp_Vzdel_mzdy_spec">#REF!</definedName>
    <definedName name="Pp_Vzdel_mzdy_výkon" localSheetId="22">#REF!</definedName>
    <definedName name="Pp_Vzdel_mzdy_výkon">#REF!</definedName>
    <definedName name="Pp_Vzdel_mzdy_výkon_PV" localSheetId="22">#REF!</definedName>
    <definedName name="Pp_Vzdel_mzdy_výkon_PV">#REF!</definedName>
    <definedName name="Pp_Vzdel_mzdy_výkon_PV_bez" localSheetId="22">#REF!</definedName>
    <definedName name="Pp_Vzdel_mzdy_výkon_PV_bez">#REF!</definedName>
    <definedName name="Pp_Vzdel_mzdy_výkon_PV_um" localSheetId="22">#REF!</definedName>
    <definedName name="Pp_Vzdel_mzdy_výkon_PV_um">#REF!</definedName>
    <definedName name="Pp_Vzdel_mzdy_výkon_VV" localSheetId="22">#REF!</definedName>
    <definedName name="Pp_Vzdel_mzdy_výkon_VV">#REF!</definedName>
    <definedName name="Pp_Vzdel_mzdy_výkon_VV_bez" localSheetId="22">#REF!</definedName>
    <definedName name="Pp_Vzdel_mzdy_výkon_VV_bez">#REF!</definedName>
    <definedName name="Pp_Vzdel_mzdy_výkon_VV_um" localSheetId="22">#REF!</definedName>
    <definedName name="Pp_Vzdel_mzdy_výkon_VV_um">#REF!</definedName>
    <definedName name="Pp_Vzdel_spec_prax" localSheetId="22">#REF!</definedName>
    <definedName name="Pp_Vzdel_spec_prax">#REF!</definedName>
    <definedName name="Pp_Vzdel_TaS" localSheetId="22">#REF!</definedName>
    <definedName name="Pp_Vzdel_TaS">#REF!</definedName>
    <definedName name="Pp_Vzdel_TaS_rezerva" localSheetId="22">#REF!</definedName>
    <definedName name="Pp_Vzdel_TaS_rezerva">#REF!</definedName>
    <definedName name="Pp_Vzdel_TaS_spec" localSheetId="22">#REF!</definedName>
    <definedName name="Pp_Vzdel_TaS_spec">#REF!</definedName>
    <definedName name="Pp_Vzdel_TaS_stav" localSheetId="22">#REF!</definedName>
    <definedName name="Pp_Vzdel_TaS_stav">#REF!</definedName>
    <definedName name="Pp_Vzdel_TaS_výkon" localSheetId="22">#REF!</definedName>
    <definedName name="Pp_Vzdel_TaS_výkon">#REF!</definedName>
    <definedName name="Pp_Vzdel_TaS_výkon_PPŠ" localSheetId="22">#REF!</definedName>
    <definedName name="Pp_Vzdel_TaS_výkon_PPŠ">#REF!</definedName>
    <definedName name="Pp_Vzdel_TaS_výkon_PPŠ_a_zákl" localSheetId="22">#REF!</definedName>
    <definedName name="Pp_Vzdel_TaS_výkon_PPŠ_a_zákl">#REF!</definedName>
    <definedName name="Pp_Vzdel_TaS_výkon_PPŠ_KEN" localSheetId="22">#REF!</definedName>
    <definedName name="Pp_Vzdel_TaS_výkon_PPŠ_KEN">#REF!</definedName>
    <definedName name="Pp_Vzdel_TaS_zahr_granty" localSheetId="22">#REF!</definedName>
    <definedName name="Pp_Vzdel_TaS_zahr_granty">#REF!</definedName>
    <definedName name="Pp_Vzdel_TaS_zákl" localSheetId="22">#REF!</definedName>
    <definedName name="Pp_Vzdel_TaS_zákl">#REF!</definedName>
    <definedName name="Pr_AV_BD" localSheetId="22">#REF!</definedName>
    <definedName name="Pr_AV_BD">#REF!</definedName>
    <definedName name="Pr_IV_BD" localSheetId="22">#REF!</definedName>
    <definedName name="Pr_IV_BD">#REF!</definedName>
    <definedName name="Pr_IV_KV" localSheetId="22">#REF!</definedName>
    <definedName name="Pr_IV_KV">#REF!</definedName>
    <definedName name="Pr_IV_KV_rezerva" localSheetId="22">#REF!</definedName>
    <definedName name="Pr_IV_KV_rezerva">#REF!</definedName>
    <definedName name="Pr_KEGA_BD" localSheetId="22">#REF!</definedName>
    <definedName name="Pr_KEGA_BD">#REF!</definedName>
    <definedName name="Pr_klinické" localSheetId="22">#REF!</definedName>
    <definedName name="Pr_klinické">#REF!</definedName>
    <definedName name="Pr_KŠ" localSheetId="22">#REF!</definedName>
    <definedName name="Pr_KŠ">#REF!</definedName>
    <definedName name="Pr_motštip_BD" localSheetId="22">#REF!</definedName>
    <definedName name="Pr_motštip_BD">#REF!</definedName>
    <definedName name="Pr_MVTS_BD" localSheetId="22">#REF!</definedName>
    <definedName name="Pr_MVTS_BD">#REF!</definedName>
    <definedName name="Pr_socštip_BD" localSheetId="22">#REF!</definedName>
    <definedName name="Pr_socštip_BD">#REF!</definedName>
    <definedName name="Pr_ŠD" localSheetId="22">#REF!</definedName>
    <definedName name="Pr_ŠD">#REF!</definedName>
    <definedName name="Pr_ŠDaJKŠPC_BD" localSheetId="22">#REF!</definedName>
    <definedName name="Pr_ŠDaJKŠPC_BD">#REF!</definedName>
    <definedName name="Pr_VaT_KV_zac_roka" localSheetId="22">#REF!</definedName>
    <definedName name="Pr_VaT_KV_zac_roka">#REF!</definedName>
    <definedName name="Pr_VaT_TaS" localSheetId="22">#REF!</definedName>
    <definedName name="Pr_VaT_TaS">#REF!</definedName>
    <definedName name="Pr_VaT_TaS_rezerva" localSheetId="22">#REF!</definedName>
    <definedName name="Pr_VaT_TaS_rezerva">#REF!</definedName>
    <definedName name="Pr_VaT_TaS_zac_roka" localSheetId="22">#REF!</definedName>
    <definedName name="Pr_VaT_TaS_zac_roka">#REF!</definedName>
    <definedName name="Pr_VEGA_BD" localSheetId="22">#REF!</definedName>
    <definedName name="Pr_VEGA_BD">#REF!</definedName>
    <definedName name="predmety" localSheetId="22">#REF!</definedName>
    <definedName name="predmety">#REF!</definedName>
    <definedName name="prisp_na_1_jedlo" localSheetId="22">#REF!</definedName>
    <definedName name="prisp_na_1_jedlo">#REF!</definedName>
    <definedName name="prisp_na_ubyt_stud_SD" localSheetId="22">#REF!</definedName>
    <definedName name="prisp_na_ubyt_stud_SD">#REF!</definedName>
    <definedName name="prisp_na_ubyt_stud_ZZ" localSheetId="22">#REF!</definedName>
    <definedName name="prisp_na_ubyt_stud_ZZ">#REF!</definedName>
    <definedName name="prísp_zákl_prev" localSheetId="22">#REF!</definedName>
    <definedName name="prísp_zákl_prev">#REF!</definedName>
    <definedName name="R_vvs" localSheetId="22">#REF!</definedName>
    <definedName name="R_vvs">#REF!</definedName>
    <definedName name="R_vvs_BD" localSheetId="22">#REF!</definedName>
    <definedName name="R_vvs_BD">#REF!</definedName>
    <definedName name="R_vvs_VaT_BD" localSheetId="22">#REF!</definedName>
    <definedName name="R_vvs_VaT_BD">#REF!</definedName>
    <definedName name="Sanet" localSheetId="22">#REF!</definedName>
    <definedName name="Sanet">#REF!</definedName>
    <definedName name="SAPBEXrevision" hidden="1">7</definedName>
    <definedName name="SAPBEXsysID" hidden="1">"BS1"</definedName>
    <definedName name="SAPBEXwbID" hidden="1">"3TG3S316PX9BHXMQEBSXSYZZO"</definedName>
    <definedName name="stavba_ucelova" localSheetId="22">#REF!</definedName>
    <definedName name="stavba_ucelova">#REF!</definedName>
    <definedName name="studenti_vstup" localSheetId="22">#REF!</definedName>
    <definedName name="studenti_vstup">#REF!</definedName>
    <definedName name="sustava" localSheetId="22">#REF!</definedName>
    <definedName name="sustava">#REF!</definedName>
    <definedName name="T_1" localSheetId="22">#REF!</definedName>
    <definedName name="T_1">#REF!</definedName>
    <definedName name="T_25_so_štip_2007" localSheetId="22">#REF!</definedName>
    <definedName name="T_25_so_štip_2007">#REF!</definedName>
    <definedName name="T_M" localSheetId="22">#REF!</definedName>
    <definedName name="T_M">#REF!</definedName>
    <definedName name="___T1">#REF!</definedName>
    <definedName name="váha_absDrš" localSheetId="22">#REF!</definedName>
    <definedName name="váha_absDrš">#REF!</definedName>
    <definedName name="váha_DG" localSheetId="22">#REF!</definedName>
    <definedName name="váha_DG">#REF!</definedName>
    <definedName name="váha_poDs" localSheetId="22">#REF!</definedName>
    <definedName name="váha_poDs">#REF!</definedName>
    <definedName name="váha_Pub" localSheetId="22">#REF!</definedName>
    <definedName name="váha_Pub">#REF!</definedName>
    <definedName name="váha_ZG" localSheetId="22">#REF!</definedName>
    <definedName name="váha_ZG">#REF!</definedName>
    <definedName name="výkon_um" localSheetId="22">#REF!</definedName>
    <definedName name="výkon_um">#REF!</definedName>
    <definedName name="__wd1">[1]vahy!$B$1</definedName>
    <definedName name="__wd3">[1]vahy!$B$3</definedName>
    <definedName name="__we1">[1]vahy!$B$2</definedName>
    <definedName name="__we3">[1]vahy!$B$4</definedName>
    <definedName name="xxx" hidden="1">"3TGMUFSSIAIMK2KTNC9DELQD0"</definedName>
    <definedName name="zakl_prisp_na_prev_SD" localSheetId="22">#REF!</definedName>
    <definedName name="zakl_prisp_na_prev_SD">#REF!</definedName>
    <definedName name="záloha" localSheetId="22">#REF!</definedName>
    <definedName name="záloha">#REF!</definedName>
  </definedNames>
  <calcPr calcId="145621" calcMode="manual" fullCalcOnLoad="1"/>
</workbook>
</file>

<file path=xl/calcChain.xml><?xml version="1.0" encoding="utf-8"?>
<calcChain xmlns="http://schemas.openxmlformats.org/spreadsheetml/2006/main">
  <c r="D36" i="75" l="1"/>
  <c r="D37" i="75"/>
  <c r="D32" i="75"/>
  <c r="D28" i="75"/>
  <c r="D21" i="75"/>
  <c r="D17" i="75"/>
  <c r="D33" i="75"/>
  <c r="D13" i="75"/>
  <c r="D10" i="75"/>
  <c r="D14" i="75"/>
  <c r="D38" i="75"/>
  <c r="D6" i="75"/>
  <c r="D49" i="62"/>
  <c r="D50" i="62"/>
  <c r="D45" i="62"/>
  <c r="D42" i="62"/>
  <c r="D35" i="62"/>
  <c r="D31" i="62"/>
  <c r="D46" i="62"/>
  <c r="D23" i="62"/>
  <c r="D19" i="62"/>
  <c r="D7" i="62"/>
  <c r="I28" i="1"/>
  <c r="J28" i="1"/>
  <c r="D28" i="1"/>
  <c r="J26" i="1"/>
  <c r="E26" i="1"/>
  <c r="E24" i="1"/>
  <c r="E21" i="1"/>
  <c r="E19" i="1"/>
  <c r="K16" i="1"/>
  <c r="F16" i="1"/>
  <c r="E13" i="1"/>
  <c r="E11" i="1"/>
  <c r="E8" i="1"/>
  <c r="E6" i="1"/>
  <c r="K4" i="1"/>
  <c r="J4" i="1"/>
  <c r="F4" i="1"/>
  <c r="F28" i="1"/>
  <c r="B24" i="50"/>
  <c r="F39" i="65"/>
  <c r="E39" i="65"/>
  <c r="C39" i="65"/>
  <c r="B39" i="65"/>
  <c r="I38" i="65"/>
  <c r="H38" i="65"/>
  <c r="G38" i="65"/>
  <c r="D38" i="65"/>
  <c r="I37" i="65"/>
  <c r="H37" i="65"/>
  <c r="G37" i="65"/>
  <c r="D37" i="65"/>
  <c r="J37" i="65"/>
  <c r="I36" i="65"/>
  <c r="H36" i="65"/>
  <c r="G36" i="65"/>
  <c r="J36" i="65"/>
  <c r="I35" i="65"/>
  <c r="H35" i="65"/>
  <c r="G35" i="65"/>
  <c r="J35" i="65"/>
  <c r="D35" i="65"/>
  <c r="I34" i="65"/>
  <c r="H34" i="65"/>
  <c r="G34" i="65"/>
  <c r="D34" i="65"/>
  <c r="I33" i="65"/>
  <c r="H33" i="65"/>
  <c r="G33" i="65"/>
  <c r="J33" i="65"/>
  <c r="D33" i="65"/>
  <c r="I32" i="65"/>
  <c r="H32" i="65"/>
  <c r="G32" i="65"/>
  <c r="D32" i="65"/>
  <c r="I31" i="65"/>
  <c r="H31" i="65"/>
  <c r="G31" i="65"/>
  <c r="J31" i="65"/>
  <c r="D31" i="65"/>
  <c r="I30" i="65"/>
  <c r="H30" i="65"/>
  <c r="G30" i="65"/>
  <c r="D30" i="65"/>
  <c r="I29" i="65"/>
  <c r="H29" i="65"/>
  <c r="G29" i="65"/>
  <c r="J29" i="65"/>
  <c r="D29" i="65"/>
  <c r="I28" i="65"/>
  <c r="H28" i="65"/>
  <c r="G28" i="65"/>
  <c r="D28" i="65"/>
  <c r="I27" i="65"/>
  <c r="H27" i="65"/>
  <c r="G27" i="65"/>
  <c r="J27" i="65"/>
  <c r="D27" i="65"/>
  <c r="I26" i="65"/>
  <c r="H26" i="65"/>
  <c r="G26" i="65"/>
  <c r="D26" i="65"/>
  <c r="I25" i="65"/>
  <c r="H25" i="65"/>
  <c r="G25" i="65"/>
  <c r="J25" i="65"/>
  <c r="D25" i="65"/>
  <c r="I24" i="65"/>
  <c r="H24" i="65"/>
  <c r="G24" i="65"/>
  <c r="D24" i="65"/>
  <c r="I23" i="65"/>
  <c r="H23" i="65"/>
  <c r="G23" i="65"/>
  <c r="J23" i="65"/>
  <c r="D23" i="65"/>
  <c r="I22" i="65"/>
  <c r="H22" i="65"/>
  <c r="G22" i="65"/>
  <c r="D22" i="65"/>
  <c r="I21" i="65"/>
  <c r="H21" i="65"/>
  <c r="G21" i="65"/>
  <c r="J21" i="65"/>
  <c r="D21" i="65"/>
  <c r="I20" i="65"/>
  <c r="H20" i="65"/>
  <c r="G20" i="65"/>
  <c r="D20" i="65"/>
  <c r="I19" i="65"/>
  <c r="H19" i="65"/>
  <c r="G19" i="65"/>
  <c r="J19" i="65"/>
  <c r="D19" i="65"/>
  <c r="I18" i="65"/>
  <c r="H18" i="65"/>
  <c r="G18" i="65"/>
  <c r="D18" i="65"/>
  <c r="I17" i="65"/>
  <c r="H17" i="65"/>
  <c r="G17" i="65"/>
  <c r="J17" i="65"/>
  <c r="D17" i="65"/>
  <c r="I16" i="65"/>
  <c r="H16" i="65"/>
  <c r="G16" i="65"/>
  <c r="D16" i="65"/>
  <c r="I15" i="65"/>
  <c r="H15" i="65"/>
  <c r="G15" i="65"/>
  <c r="J15" i="65"/>
  <c r="D15" i="65"/>
  <c r="I14" i="65"/>
  <c r="H14" i="65"/>
  <c r="G14" i="65"/>
  <c r="D14" i="65"/>
  <c r="I13" i="65"/>
  <c r="H13" i="65"/>
  <c r="G13" i="65"/>
  <c r="J13" i="65"/>
  <c r="D13" i="65"/>
  <c r="I12" i="65"/>
  <c r="H12" i="65"/>
  <c r="G12" i="65"/>
  <c r="D12" i="65"/>
  <c r="I11" i="65"/>
  <c r="H11" i="65"/>
  <c r="G11" i="65"/>
  <c r="J11" i="65"/>
  <c r="D11" i="65"/>
  <c r="I10" i="65"/>
  <c r="H10" i="65"/>
  <c r="G10" i="65"/>
  <c r="D10" i="65"/>
  <c r="I9" i="65"/>
  <c r="H9" i="65"/>
  <c r="G9" i="65"/>
  <c r="J9" i="65"/>
  <c r="D9" i="65"/>
  <c r="I8" i="65"/>
  <c r="H8" i="65"/>
  <c r="G8" i="65"/>
  <c r="D8" i="65"/>
  <c r="I7" i="65"/>
  <c r="H7" i="65"/>
  <c r="G7" i="65"/>
  <c r="J7" i="65"/>
  <c r="D7" i="65"/>
  <c r="I6" i="65"/>
  <c r="H6" i="65"/>
  <c r="G6" i="65"/>
  <c r="D6" i="65"/>
  <c r="I5" i="65"/>
  <c r="H5" i="65"/>
  <c r="G5" i="65"/>
  <c r="J5" i="65"/>
  <c r="D5" i="65"/>
  <c r="I4" i="65"/>
  <c r="I39" i="65"/>
  <c r="H4" i="65"/>
  <c r="H39" i="65"/>
  <c r="G4" i="65"/>
  <c r="G39" i="65"/>
  <c r="D4" i="65"/>
  <c r="D39" i="65"/>
  <c r="D21" i="73"/>
  <c r="D20" i="73"/>
  <c r="D19" i="73"/>
  <c r="D16" i="73"/>
  <c r="D15" i="73"/>
  <c r="D12" i="73"/>
  <c r="D10" i="73"/>
  <c r="D8" i="73"/>
  <c r="D7" i="73"/>
  <c r="D23" i="73"/>
  <c r="D5" i="73"/>
  <c r="C23" i="73"/>
  <c r="B23" i="73"/>
  <c r="W38" i="70"/>
  <c r="V38" i="70"/>
  <c r="U38" i="70"/>
  <c r="T38" i="70"/>
  <c r="S38" i="70"/>
  <c r="R38" i="70"/>
  <c r="Q38" i="70"/>
  <c r="P38" i="70"/>
  <c r="O38" i="70"/>
  <c r="N38" i="70"/>
  <c r="M38" i="70"/>
  <c r="L38" i="70"/>
  <c r="K38" i="70"/>
  <c r="J38" i="70"/>
  <c r="I38" i="70"/>
  <c r="H38" i="70"/>
  <c r="G38" i="70"/>
  <c r="F38" i="70"/>
  <c r="D38" i="70"/>
  <c r="B37" i="70"/>
  <c r="B36" i="70"/>
  <c r="B35" i="70"/>
  <c r="B34" i="70"/>
  <c r="B33" i="70"/>
  <c r="B32" i="70"/>
  <c r="B31" i="70"/>
  <c r="B30" i="70"/>
  <c r="B29" i="70"/>
  <c r="B28" i="70"/>
  <c r="B27" i="70"/>
  <c r="B26" i="70"/>
  <c r="B25" i="70"/>
  <c r="B24" i="70"/>
  <c r="B23" i="70"/>
  <c r="E22" i="70"/>
  <c r="E38" i="70"/>
  <c r="B22" i="70"/>
  <c r="B21" i="70"/>
  <c r="B20" i="70"/>
  <c r="B19" i="70"/>
  <c r="B18" i="70"/>
  <c r="B17" i="70"/>
  <c r="B16" i="70"/>
  <c r="B15" i="70"/>
  <c r="B14" i="70"/>
  <c r="B13" i="70"/>
  <c r="B12" i="70"/>
  <c r="B11" i="70"/>
  <c r="B10" i="70"/>
  <c r="B9" i="70"/>
  <c r="B8" i="70"/>
  <c r="B7" i="70"/>
  <c r="B6" i="70"/>
  <c r="B5" i="70"/>
  <c r="B4" i="70"/>
  <c r="B3" i="70"/>
  <c r="B38" i="70"/>
  <c r="W41" i="69"/>
  <c r="V41" i="69"/>
  <c r="U41" i="69"/>
  <c r="T41" i="69"/>
  <c r="S41" i="69"/>
  <c r="R41" i="69"/>
  <c r="Q41" i="69"/>
  <c r="P41" i="69"/>
  <c r="O41" i="69"/>
  <c r="N41" i="69"/>
  <c r="M41" i="69"/>
  <c r="L41" i="69"/>
  <c r="K41" i="69"/>
  <c r="J41" i="69"/>
  <c r="I41" i="69"/>
  <c r="H41" i="69"/>
  <c r="G41" i="69"/>
  <c r="F41" i="69"/>
  <c r="D41" i="69"/>
  <c r="B40" i="69"/>
  <c r="B38" i="69"/>
  <c r="B37" i="69"/>
  <c r="B36" i="69"/>
  <c r="B35" i="69"/>
  <c r="B34" i="69"/>
  <c r="B33" i="69"/>
  <c r="B32" i="69"/>
  <c r="B31" i="69"/>
  <c r="B30" i="69"/>
  <c r="B29" i="69"/>
  <c r="B28" i="69"/>
  <c r="B27" i="69"/>
  <c r="E26" i="69"/>
  <c r="E41" i="69"/>
  <c r="B25" i="69"/>
  <c r="B24" i="69"/>
  <c r="B23" i="69"/>
  <c r="B22" i="69"/>
  <c r="B21" i="69"/>
  <c r="B20" i="69"/>
  <c r="B19" i="69"/>
  <c r="B18" i="69"/>
  <c r="B17" i="69"/>
  <c r="B16" i="69"/>
  <c r="B15" i="69"/>
  <c r="B14" i="69"/>
  <c r="B13" i="69"/>
  <c r="B12" i="69"/>
  <c r="B11" i="69"/>
  <c r="B10" i="69"/>
  <c r="B9" i="69"/>
  <c r="B8" i="69"/>
  <c r="B7" i="69"/>
  <c r="B6" i="69"/>
  <c r="B5" i="69"/>
  <c r="B4" i="69"/>
  <c r="B3" i="69"/>
  <c r="K24" i="68"/>
  <c r="E24" i="68"/>
  <c r="B24" i="68"/>
  <c r="H23" i="68"/>
  <c r="G23" i="68"/>
  <c r="F23" i="68"/>
  <c r="D23" i="68"/>
  <c r="J23" i="68"/>
  <c r="L23" i="68"/>
  <c r="C23" i="68"/>
  <c r="I23" i="68"/>
  <c r="H22" i="68"/>
  <c r="F22" i="68"/>
  <c r="G22" i="68"/>
  <c r="C22" i="68"/>
  <c r="H21" i="68"/>
  <c r="F21" i="68"/>
  <c r="G21" i="68"/>
  <c r="C21" i="68"/>
  <c r="I21" i="68"/>
  <c r="H20" i="68"/>
  <c r="F20" i="68"/>
  <c r="G20" i="68"/>
  <c r="C20" i="68"/>
  <c r="H19" i="68"/>
  <c r="F19" i="68"/>
  <c r="G19" i="68"/>
  <c r="C19" i="68"/>
  <c r="I19" i="68"/>
  <c r="H18" i="68"/>
  <c r="F18" i="68"/>
  <c r="G18" i="68"/>
  <c r="C18" i="68"/>
  <c r="H17" i="68"/>
  <c r="F17" i="68"/>
  <c r="G17" i="68"/>
  <c r="C17" i="68"/>
  <c r="I17" i="68"/>
  <c r="H16" i="68"/>
  <c r="G16" i="68"/>
  <c r="C16" i="68"/>
  <c r="D16" i="68"/>
  <c r="J16" i="68"/>
  <c r="L16" i="68"/>
  <c r="H15" i="68"/>
  <c r="F15" i="68"/>
  <c r="G15" i="68"/>
  <c r="C15" i="68"/>
  <c r="H14" i="68"/>
  <c r="F14" i="68"/>
  <c r="G14" i="68"/>
  <c r="C14" i="68"/>
  <c r="I14" i="68"/>
  <c r="H13" i="68"/>
  <c r="F13" i="68"/>
  <c r="G13" i="68"/>
  <c r="C13" i="68"/>
  <c r="H12" i="68"/>
  <c r="F12" i="68"/>
  <c r="G12" i="68"/>
  <c r="C12" i="68"/>
  <c r="I12" i="68"/>
  <c r="H11" i="68"/>
  <c r="F11" i="68"/>
  <c r="G11" i="68"/>
  <c r="C11" i="68"/>
  <c r="H10" i="68"/>
  <c r="F10" i="68"/>
  <c r="G10" i="68"/>
  <c r="C10" i="68"/>
  <c r="I10" i="68"/>
  <c r="H9" i="68"/>
  <c r="F9" i="68"/>
  <c r="G9" i="68"/>
  <c r="C9" i="68"/>
  <c r="H8" i="68"/>
  <c r="F8" i="68"/>
  <c r="G8" i="68"/>
  <c r="C8" i="68"/>
  <c r="I8" i="68"/>
  <c r="H7" i="68"/>
  <c r="F7" i="68"/>
  <c r="G7" i="68"/>
  <c r="C7" i="68"/>
  <c r="H6" i="68"/>
  <c r="F6" i="68"/>
  <c r="G6" i="68"/>
  <c r="C6" i="68"/>
  <c r="I6" i="68"/>
  <c r="H5" i="68"/>
  <c r="F5" i="68"/>
  <c r="G5" i="68"/>
  <c r="C5" i="68"/>
  <c r="H4" i="68"/>
  <c r="H24" i="68"/>
  <c r="F4" i="68"/>
  <c r="F24" i="68"/>
  <c r="C4" i="68"/>
  <c r="I4" i="68"/>
  <c r="E45" i="67"/>
  <c r="D45" i="67"/>
  <c r="C45" i="67"/>
  <c r="B45" i="67"/>
  <c r="H44" i="67"/>
  <c r="G44" i="67"/>
  <c r="J44" i="67"/>
  <c r="I44" i="67"/>
  <c r="H43" i="67"/>
  <c r="G43" i="67"/>
  <c r="J43" i="67"/>
  <c r="I43" i="67"/>
  <c r="I45" i="67"/>
  <c r="H42" i="67"/>
  <c r="H45" i="67"/>
  <c r="G42" i="67"/>
  <c r="J42" i="67"/>
  <c r="G45" i="67"/>
  <c r="F45" i="67"/>
  <c r="E41" i="67"/>
  <c r="F41" i="67"/>
  <c r="D40" i="67"/>
  <c r="I39" i="67"/>
  <c r="H39" i="67"/>
  <c r="G39" i="67"/>
  <c r="D39" i="67"/>
  <c r="I38" i="67"/>
  <c r="H38" i="67"/>
  <c r="G38" i="67"/>
  <c r="J38" i="67"/>
  <c r="D38" i="67"/>
  <c r="I37" i="67"/>
  <c r="H37" i="67"/>
  <c r="G37" i="67"/>
  <c r="D37" i="67"/>
  <c r="G36" i="67"/>
  <c r="I36" i="67"/>
  <c r="H36" i="67"/>
  <c r="I35" i="67"/>
  <c r="H35" i="67"/>
  <c r="G35" i="67"/>
  <c r="D35" i="67"/>
  <c r="J35" i="67"/>
  <c r="G34" i="67"/>
  <c r="I34" i="67"/>
  <c r="H34" i="67"/>
  <c r="I33" i="67"/>
  <c r="H33" i="67"/>
  <c r="G33" i="67"/>
  <c r="D33" i="67"/>
  <c r="G32" i="67"/>
  <c r="I32" i="67"/>
  <c r="H32" i="67"/>
  <c r="I31" i="67"/>
  <c r="H31" i="67"/>
  <c r="G31" i="67"/>
  <c r="D31" i="67"/>
  <c r="J31" i="67"/>
  <c r="G30" i="67"/>
  <c r="I30" i="67"/>
  <c r="B41" i="67"/>
  <c r="H29" i="67"/>
  <c r="G29" i="67"/>
  <c r="D29" i="67"/>
  <c r="I29" i="67"/>
  <c r="I28" i="67"/>
  <c r="H28" i="67"/>
  <c r="G28" i="67"/>
  <c r="D28" i="67"/>
  <c r="J28" i="67"/>
  <c r="I27" i="67"/>
  <c r="H27" i="67"/>
  <c r="G27" i="67"/>
  <c r="D27" i="67"/>
  <c r="I26" i="67"/>
  <c r="H26" i="67"/>
  <c r="G26" i="67"/>
  <c r="D26" i="67"/>
  <c r="J26" i="67"/>
  <c r="I25" i="67"/>
  <c r="H25" i="67"/>
  <c r="G25" i="67"/>
  <c r="D25" i="67"/>
  <c r="I24" i="67"/>
  <c r="H24" i="67"/>
  <c r="G24" i="67"/>
  <c r="D24" i="67"/>
  <c r="J24" i="67"/>
  <c r="I23" i="67"/>
  <c r="H23" i="67"/>
  <c r="G23" i="67"/>
  <c r="D23" i="67"/>
  <c r="I22" i="67"/>
  <c r="H22" i="67"/>
  <c r="G22" i="67"/>
  <c r="D22" i="67"/>
  <c r="J22" i="67"/>
  <c r="I21" i="67"/>
  <c r="H21" i="67"/>
  <c r="G21" i="67"/>
  <c r="D21" i="67"/>
  <c r="I20" i="67"/>
  <c r="H20" i="67"/>
  <c r="G20" i="67"/>
  <c r="D20" i="67"/>
  <c r="J20" i="67"/>
  <c r="I19" i="67"/>
  <c r="H19" i="67"/>
  <c r="G19" i="67"/>
  <c r="D19" i="67"/>
  <c r="I18" i="67"/>
  <c r="H18" i="67"/>
  <c r="G18" i="67"/>
  <c r="D18" i="67"/>
  <c r="J18" i="67"/>
  <c r="I17" i="67"/>
  <c r="H17" i="67"/>
  <c r="G17" i="67"/>
  <c r="D17" i="67"/>
  <c r="I16" i="67"/>
  <c r="H16" i="67"/>
  <c r="G16" i="67"/>
  <c r="D16" i="67"/>
  <c r="J16" i="67"/>
  <c r="I15" i="67"/>
  <c r="H15" i="67"/>
  <c r="G15" i="67"/>
  <c r="D15" i="67"/>
  <c r="I14" i="67"/>
  <c r="H14" i="67"/>
  <c r="G14" i="67"/>
  <c r="D14" i="67"/>
  <c r="J14" i="67"/>
  <c r="I13" i="67"/>
  <c r="H13" i="67"/>
  <c r="G13" i="67"/>
  <c r="D13" i="67"/>
  <c r="I12" i="67"/>
  <c r="H12" i="67"/>
  <c r="G12" i="67"/>
  <c r="D12" i="67"/>
  <c r="J12" i="67"/>
  <c r="I11" i="67"/>
  <c r="H11" i="67"/>
  <c r="G11" i="67"/>
  <c r="D11" i="67"/>
  <c r="I10" i="67"/>
  <c r="H10" i="67"/>
  <c r="G10" i="67"/>
  <c r="D10" i="67"/>
  <c r="J10" i="67"/>
  <c r="I9" i="67"/>
  <c r="H9" i="67"/>
  <c r="G9" i="67"/>
  <c r="D9" i="67"/>
  <c r="I8" i="67"/>
  <c r="H8" i="67"/>
  <c r="G8" i="67"/>
  <c r="D8" i="67"/>
  <c r="J8" i="67"/>
  <c r="I7" i="67"/>
  <c r="H7" i="67"/>
  <c r="G7" i="67"/>
  <c r="D7" i="67"/>
  <c r="I6" i="67"/>
  <c r="H6" i="67"/>
  <c r="G6" i="67"/>
  <c r="D6" i="67"/>
  <c r="J6" i="67"/>
  <c r="I5" i="67"/>
  <c r="H5" i="67"/>
  <c r="G5" i="67"/>
  <c r="D5" i="67"/>
  <c r="I4" i="67"/>
  <c r="H4" i="67"/>
  <c r="G4" i="67"/>
  <c r="D4" i="67"/>
  <c r="D44" i="66"/>
  <c r="B44" i="66"/>
  <c r="F44" i="66"/>
  <c r="F43" i="66"/>
  <c r="F42" i="66"/>
  <c r="F41" i="66"/>
  <c r="F37" i="66"/>
  <c r="F36" i="66"/>
  <c r="F35" i="66"/>
  <c r="F34" i="66"/>
  <c r="F33" i="66"/>
  <c r="F32" i="66"/>
  <c r="F31" i="66"/>
  <c r="F30" i="66"/>
  <c r="F29" i="66"/>
  <c r="F28" i="66"/>
  <c r="F27" i="66"/>
  <c r="F26" i="66"/>
  <c r="F25" i="66"/>
  <c r="F24" i="66"/>
  <c r="F23" i="66"/>
  <c r="F22" i="66"/>
  <c r="F21" i="66"/>
  <c r="F20" i="66"/>
  <c r="F19" i="66"/>
  <c r="F18" i="66"/>
  <c r="F17" i="66"/>
  <c r="F16" i="66"/>
  <c r="F15" i="66"/>
  <c r="F14" i="66"/>
  <c r="F13" i="66"/>
  <c r="F12" i="66"/>
  <c r="F11" i="66"/>
  <c r="F10" i="66"/>
  <c r="F9" i="66"/>
  <c r="F8" i="66"/>
  <c r="F7" i="66"/>
  <c r="F6" i="66"/>
  <c r="F5" i="66"/>
  <c r="F4" i="66"/>
  <c r="F3" i="66"/>
  <c r="D42" i="64"/>
  <c r="B42" i="64"/>
  <c r="F42" i="64"/>
  <c r="F41" i="64"/>
  <c r="F40" i="64"/>
  <c r="F39" i="64"/>
  <c r="D38" i="64"/>
  <c r="B38" i="64"/>
  <c r="F37" i="64"/>
  <c r="C37" i="64"/>
  <c r="F36" i="64"/>
  <c r="C36" i="64"/>
  <c r="F35" i="64"/>
  <c r="C35" i="64"/>
  <c r="F34" i="64"/>
  <c r="C34" i="64"/>
  <c r="F33" i="64"/>
  <c r="C33" i="64"/>
  <c r="F32" i="64"/>
  <c r="C32" i="64"/>
  <c r="F31" i="64"/>
  <c r="C31" i="64"/>
  <c r="F30" i="64"/>
  <c r="C30" i="64"/>
  <c r="F29" i="64"/>
  <c r="C29" i="64"/>
  <c r="F28" i="64"/>
  <c r="C28" i="64"/>
  <c r="F27" i="64"/>
  <c r="C27" i="64"/>
  <c r="F26" i="64"/>
  <c r="C26" i="64"/>
  <c r="F25" i="64"/>
  <c r="C25" i="64"/>
  <c r="F24" i="64"/>
  <c r="C24" i="64"/>
  <c r="F23" i="64"/>
  <c r="C23" i="64"/>
  <c r="F22" i="64"/>
  <c r="C22" i="64"/>
  <c r="F21" i="64"/>
  <c r="C21" i="64"/>
  <c r="F20" i="64"/>
  <c r="C20" i="64"/>
  <c r="F19" i="64"/>
  <c r="C19" i="64"/>
  <c r="F18" i="64"/>
  <c r="C18" i="64"/>
  <c r="F17" i="64"/>
  <c r="C17" i="64"/>
  <c r="F16" i="64"/>
  <c r="C16" i="64"/>
  <c r="F15" i="64"/>
  <c r="C15" i="64"/>
  <c r="F14" i="64"/>
  <c r="C14" i="64"/>
  <c r="F13" i="64"/>
  <c r="C13" i="64"/>
  <c r="F12" i="64"/>
  <c r="C12" i="64"/>
  <c r="F11" i="64"/>
  <c r="C11" i="64"/>
  <c r="F10" i="64"/>
  <c r="C10" i="64"/>
  <c r="F9" i="64"/>
  <c r="C9" i="64"/>
  <c r="F8" i="64"/>
  <c r="C8" i="64"/>
  <c r="F7" i="64"/>
  <c r="C7" i="64"/>
  <c r="F6" i="64"/>
  <c r="C6" i="64"/>
  <c r="F5" i="64"/>
  <c r="C5" i="64"/>
  <c r="F4" i="64"/>
  <c r="E4" i="64"/>
  <c r="C4" i="64"/>
  <c r="F3" i="64"/>
  <c r="C3" i="64"/>
  <c r="D23" i="53"/>
  <c r="C23" i="53"/>
  <c r="I22" i="53"/>
  <c r="E22" i="53"/>
  <c r="I21" i="53"/>
  <c r="E21" i="53"/>
  <c r="I20" i="53"/>
  <c r="E20" i="53"/>
  <c r="I19" i="53"/>
  <c r="E19" i="53"/>
  <c r="I18" i="53"/>
  <c r="E18" i="53"/>
  <c r="I17" i="53"/>
  <c r="E17" i="53"/>
  <c r="I16" i="53"/>
  <c r="E16" i="53"/>
  <c r="I15" i="53"/>
  <c r="E15" i="53"/>
  <c r="I14" i="53"/>
  <c r="E14" i="53"/>
  <c r="I13" i="53"/>
  <c r="E13" i="53"/>
  <c r="I12" i="53"/>
  <c r="E12" i="53"/>
  <c r="I11" i="53"/>
  <c r="E11" i="53"/>
  <c r="I10" i="53"/>
  <c r="E10" i="53"/>
  <c r="I9" i="53"/>
  <c r="E9" i="53"/>
  <c r="I8" i="53"/>
  <c r="E8" i="53"/>
  <c r="I7" i="53"/>
  <c r="E7" i="53"/>
  <c r="I6" i="53"/>
  <c r="E6" i="53"/>
  <c r="I5" i="53"/>
  <c r="E5" i="53"/>
  <c r="I4" i="53"/>
  <c r="E4" i="53"/>
  <c r="I3" i="53"/>
  <c r="I23" i="53"/>
  <c r="E3" i="53"/>
  <c r="E23" i="53"/>
  <c r="I23" i="61"/>
  <c r="G23" i="61"/>
  <c r="F23" i="61"/>
  <c r="E23" i="61"/>
  <c r="C23" i="61"/>
  <c r="B23" i="61"/>
  <c r="H22" i="61"/>
  <c r="D22" i="61"/>
  <c r="H21" i="61"/>
  <c r="D21" i="61"/>
  <c r="H20" i="61"/>
  <c r="D20" i="61"/>
  <c r="H19" i="61"/>
  <c r="D19" i="61"/>
  <c r="H18" i="61"/>
  <c r="D18" i="61"/>
  <c r="H17" i="61"/>
  <c r="D17" i="61"/>
  <c r="H16" i="61"/>
  <c r="D16" i="61"/>
  <c r="H15" i="61"/>
  <c r="D15" i="61"/>
  <c r="H14" i="61"/>
  <c r="D14" i="61"/>
  <c r="H13" i="61"/>
  <c r="D13" i="61"/>
  <c r="H12" i="61"/>
  <c r="D12" i="61"/>
  <c r="H11" i="61"/>
  <c r="D11" i="61"/>
  <c r="H10" i="61"/>
  <c r="D10" i="61"/>
  <c r="H9" i="61"/>
  <c r="D9" i="61"/>
  <c r="H8" i="61"/>
  <c r="D8" i="61"/>
  <c r="H7" i="61"/>
  <c r="D7" i="61"/>
  <c r="H6" i="61"/>
  <c r="D6" i="61"/>
  <c r="H5" i="61"/>
  <c r="D5" i="61"/>
  <c r="H4" i="61"/>
  <c r="D4" i="61"/>
  <c r="H3" i="61"/>
  <c r="H23" i="61"/>
  <c r="D3" i="61"/>
  <c r="D23" i="61"/>
  <c r="E23" i="60"/>
  <c r="D23" i="60"/>
  <c r="C23" i="60"/>
  <c r="B23" i="60"/>
  <c r="E16" i="52"/>
  <c r="D16" i="52"/>
  <c r="F15" i="52"/>
  <c r="F14" i="52"/>
  <c r="F13" i="52"/>
  <c r="F12" i="52"/>
  <c r="F11" i="52"/>
  <c r="B11" i="52"/>
  <c r="F10" i="52"/>
  <c r="F9" i="52"/>
  <c r="F8" i="52"/>
  <c r="F7" i="52"/>
  <c r="F6" i="52"/>
  <c r="F5" i="52"/>
  <c r="B5" i="52"/>
  <c r="F4" i="52"/>
  <c r="F16" i="52"/>
  <c r="F3" i="52"/>
  <c r="H23" i="51"/>
  <c r="G23" i="51"/>
  <c r="E23" i="51"/>
  <c r="B23" i="51"/>
  <c r="I22" i="51"/>
  <c r="F22" i="51"/>
  <c r="D22" i="51"/>
  <c r="I21" i="51"/>
  <c r="D21" i="51"/>
  <c r="I20" i="51"/>
  <c r="F20" i="51"/>
  <c r="D20" i="51"/>
  <c r="I19" i="51"/>
  <c r="D19" i="51"/>
  <c r="I18" i="51"/>
  <c r="F18" i="51"/>
  <c r="D18" i="51"/>
  <c r="I17" i="51"/>
  <c r="D17" i="51"/>
  <c r="I16" i="51"/>
  <c r="F16" i="51"/>
  <c r="D16" i="51"/>
  <c r="I15" i="51"/>
  <c r="D15" i="51"/>
  <c r="I14" i="51"/>
  <c r="F14" i="51"/>
  <c r="D14" i="51"/>
  <c r="I13" i="51"/>
  <c r="D13" i="51"/>
  <c r="I12" i="51"/>
  <c r="F12" i="51"/>
  <c r="D12" i="51"/>
  <c r="I11" i="51"/>
  <c r="C11" i="51"/>
  <c r="D11" i="51"/>
  <c r="I10" i="51"/>
  <c r="D10" i="51"/>
  <c r="I9" i="51"/>
  <c r="D9" i="51"/>
  <c r="I8" i="51"/>
  <c r="D8" i="51"/>
  <c r="I7" i="51"/>
  <c r="D7" i="51"/>
  <c r="I6" i="51"/>
  <c r="D6" i="51"/>
  <c r="I5" i="51"/>
  <c r="D5" i="51"/>
  <c r="I4" i="51"/>
  <c r="D4" i="51"/>
  <c r="I3" i="51"/>
  <c r="C3" i="51"/>
  <c r="D3" i="51"/>
  <c r="E8" i="57"/>
  <c r="H36" i="3"/>
  <c r="E36" i="3"/>
  <c r="D36" i="3"/>
  <c r="C36" i="3"/>
  <c r="B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J11" i="2"/>
  <c r="J10" i="2"/>
  <c r="J9" i="2"/>
  <c r="J8" i="2"/>
  <c r="J7" i="2"/>
  <c r="J6" i="2"/>
  <c r="J5" i="2"/>
  <c r="I12" i="4"/>
  <c r="H12" i="4"/>
  <c r="G12" i="4"/>
  <c r="F12" i="4"/>
  <c r="E12" i="4"/>
  <c r="D12" i="4"/>
  <c r="C12" i="4"/>
  <c r="B12" i="4"/>
  <c r="J11" i="4"/>
  <c r="J10" i="4"/>
  <c r="J9" i="4"/>
  <c r="J8" i="4"/>
  <c r="J7" i="4"/>
  <c r="J6" i="4"/>
  <c r="J16" i="4"/>
  <c r="J5" i="4"/>
  <c r="G34" i="5"/>
  <c r="F34" i="5"/>
  <c r="E34" i="5"/>
  <c r="D34" i="5"/>
  <c r="C34" i="5"/>
  <c r="B34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I20" i="5"/>
  <c r="H19" i="5"/>
  <c r="H18" i="5"/>
  <c r="H17" i="5"/>
  <c r="H16" i="5"/>
  <c r="I16" i="5"/>
  <c r="H15" i="5"/>
  <c r="H14" i="5"/>
  <c r="H13" i="5"/>
  <c r="H12" i="5"/>
  <c r="I12" i="5"/>
  <c r="H11" i="5"/>
  <c r="H10" i="5"/>
  <c r="I10" i="5"/>
  <c r="H9" i="5"/>
  <c r="H8" i="5"/>
  <c r="H7" i="5"/>
  <c r="H6" i="5"/>
  <c r="H5" i="5"/>
  <c r="H4" i="5"/>
  <c r="P25" i="48"/>
  <c r="N25" i="48"/>
  <c r="L25" i="48"/>
  <c r="J25" i="48"/>
  <c r="H25" i="48"/>
  <c r="F25" i="48"/>
  <c r="D25" i="48"/>
  <c r="B25" i="48"/>
  <c r="R24" i="48"/>
  <c r="R23" i="48"/>
  <c r="R22" i="48"/>
  <c r="R21" i="48"/>
  <c r="R20" i="48"/>
  <c r="R19" i="48"/>
  <c r="R18" i="48"/>
  <c r="R17" i="48"/>
  <c r="R16" i="48"/>
  <c r="R15" i="48"/>
  <c r="R14" i="48"/>
  <c r="R13" i="48"/>
  <c r="R12" i="48"/>
  <c r="R11" i="48"/>
  <c r="R10" i="48"/>
  <c r="R9" i="48"/>
  <c r="R8" i="48"/>
  <c r="R7" i="48"/>
  <c r="R6" i="48"/>
  <c r="R5" i="48"/>
  <c r="J64" i="10"/>
  <c r="G64" i="10"/>
  <c r="D64" i="10"/>
  <c r="J63" i="10"/>
  <c r="G63" i="10"/>
  <c r="D63" i="10"/>
  <c r="J62" i="10"/>
  <c r="G62" i="10"/>
  <c r="D62" i="10"/>
  <c r="J61" i="10"/>
  <c r="G61" i="10"/>
  <c r="D61" i="10"/>
  <c r="J60" i="10"/>
  <c r="G60" i="10"/>
  <c r="D60" i="10"/>
  <c r="J59" i="10"/>
  <c r="G59" i="10"/>
  <c r="D59" i="10"/>
  <c r="J58" i="10"/>
  <c r="D58" i="10"/>
  <c r="J57" i="10"/>
  <c r="D57" i="10"/>
  <c r="J56" i="10"/>
  <c r="G56" i="10"/>
  <c r="D56" i="10"/>
  <c r="J55" i="10"/>
  <c r="G55" i="10"/>
  <c r="D55" i="10"/>
  <c r="J54" i="10"/>
  <c r="G54" i="10"/>
  <c r="D54" i="10"/>
  <c r="J53" i="10"/>
  <c r="G53" i="10"/>
  <c r="D53" i="10"/>
  <c r="J52" i="10"/>
  <c r="G52" i="10"/>
  <c r="D52" i="10"/>
  <c r="J51" i="10"/>
  <c r="G51" i="10"/>
  <c r="D51" i="10"/>
  <c r="J50" i="10"/>
  <c r="G50" i="10"/>
  <c r="D50" i="10"/>
  <c r="J49" i="10"/>
  <c r="G49" i="10"/>
  <c r="D49" i="10"/>
  <c r="J48" i="10"/>
  <c r="G48" i="10"/>
  <c r="D48" i="10"/>
  <c r="J47" i="10"/>
  <c r="G47" i="10"/>
  <c r="D47" i="10"/>
  <c r="J46" i="10"/>
  <c r="G46" i="10"/>
  <c r="D46" i="10"/>
  <c r="J45" i="10"/>
  <c r="G45" i="10"/>
  <c r="D45" i="10"/>
  <c r="J44" i="10"/>
  <c r="G44" i="10"/>
  <c r="D44" i="10"/>
  <c r="J43" i="10"/>
  <c r="G43" i="10"/>
  <c r="D43" i="10"/>
  <c r="J42" i="10"/>
  <c r="G42" i="10"/>
  <c r="D42" i="10"/>
  <c r="J41" i="10"/>
  <c r="G41" i="10"/>
  <c r="D41" i="10"/>
  <c r="J40" i="10"/>
  <c r="G40" i="10"/>
  <c r="D40" i="10"/>
  <c r="J39" i="10"/>
  <c r="G39" i="10"/>
  <c r="D39" i="10"/>
  <c r="J38" i="10"/>
  <c r="D38" i="10"/>
  <c r="J37" i="10"/>
  <c r="D37" i="10"/>
  <c r="J36" i="10"/>
  <c r="G36" i="10"/>
  <c r="D36" i="10"/>
  <c r="J35" i="10"/>
  <c r="G35" i="10"/>
  <c r="D35" i="10"/>
  <c r="J34" i="10"/>
  <c r="G34" i="10"/>
  <c r="D34" i="10"/>
  <c r="J33" i="10"/>
  <c r="G33" i="10"/>
  <c r="D33" i="10"/>
  <c r="J32" i="10"/>
  <c r="G32" i="10"/>
  <c r="D32" i="10"/>
  <c r="J31" i="10"/>
  <c r="G31" i="10"/>
  <c r="D31" i="10"/>
  <c r="J30" i="10"/>
  <c r="G30" i="10"/>
  <c r="D30" i="10"/>
  <c r="J29" i="10"/>
  <c r="G29" i="10"/>
  <c r="D29" i="10"/>
  <c r="J28" i="10"/>
  <c r="G28" i="10"/>
  <c r="D28" i="10"/>
  <c r="J27" i="10"/>
  <c r="G27" i="10"/>
  <c r="D27" i="10"/>
  <c r="J26" i="10"/>
  <c r="G26" i="10"/>
  <c r="D26" i="10"/>
  <c r="J25" i="10"/>
  <c r="G25" i="10"/>
  <c r="D25" i="10"/>
  <c r="J24" i="10"/>
  <c r="G24" i="10"/>
  <c r="D24" i="10"/>
  <c r="J23" i="10"/>
  <c r="G23" i="10"/>
  <c r="D23" i="10"/>
  <c r="J21" i="10"/>
  <c r="G21" i="10"/>
  <c r="D21" i="10"/>
  <c r="J20" i="10"/>
  <c r="D20" i="10"/>
  <c r="J19" i="10"/>
  <c r="D19" i="10"/>
  <c r="J18" i="10"/>
  <c r="D18" i="10"/>
  <c r="J17" i="10"/>
  <c r="D17" i="10"/>
  <c r="J16" i="10"/>
  <c r="G16" i="10"/>
  <c r="D16" i="10"/>
  <c r="J15" i="10"/>
  <c r="G15" i="10"/>
  <c r="D15" i="10"/>
  <c r="J14" i="10"/>
  <c r="G14" i="10"/>
  <c r="D14" i="10"/>
  <c r="J13" i="10"/>
  <c r="G13" i="10"/>
  <c r="D13" i="10"/>
  <c r="J12" i="10"/>
  <c r="G12" i="10"/>
  <c r="D12" i="10"/>
  <c r="J11" i="10"/>
  <c r="G11" i="10"/>
  <c r="D11" i="10"/>
  <c r="J10" i="10"/>
  <c r="D10" i="10"/>
  <c r="J9" i="10"/>
  <c r="D9" i="10"/>
  <c r="J8" i="10"/>
  <c r="G8" i="10"/>
  <c r="D8" i="10"/>
  <c r="J7" i="10"/>
  <c r="G7" i="10"/>
  <c r="D7" i="10"/>
  <c r="G36" i="7"/>
  <c r="E36" i="7"/>
  <c r="C36" i="7"/>
  <c r="G35" i="7"/>
  <c r="E35" i="7"/>
  <c r="C35" i="7"/>
  <c r="G34" i="7"/>
  <c r="E34" i="7"/>
  <c r="C34" i="7"/>
  <c r="G33" i="7"/>
  <c r="E33" i="7"/>
  <c r="C33" i="7"/>
  <c r="G32" i="7"/>
  <c r="E32" i="7"/>
  <c r="C32" i="7"/>
  <c r="G31" i="7"/>
  <c r="E31" i="7"/>
  <c r="C31" i="7"/>
  <c r="G30" i="7"/>
  <c r="E30" i="7"/>
  <c r="C30" i="7"/>
  <c r="G29" i="7"/>
  <c r="E29" i="7"/>
  <c r="C29" i="7"/>
  <c r="G28" i="7"/>
  <c r="E28" i="7"/>
  <c r="C28" i="7"/>
  <c r="G27" i="7"/>
  <c r="E27" i="7"/>
  <c r="C27" i="7"/>
  <c r="G25" i="7"/>
  <c r="E25" i="7"/>
  <c r="C25" i="7"/>
  <c r="G24" i="7"/>
  <c r="E24" i="7"/>
  <c r="C24" i="7"/>
  <c r="G23" i="7"/>
  <c r="E23" i="7"/>
  <c r="C23" i="7"/>
  <c r="G22" i="7"/>
  <c r="E22" i="7"/>
  <c r="C22" i="7"/>
  <c r="G21" i="7"/>
  <c r="E21" i="7"/>
  <c r="C21" i="7"/>
  <c r="G20" i="7"/>
  <c r="E20" i="7"/>
  <c r="C20" i="7"/>
  <c r="G19" i="7"/>
  <c r="E19" i="7"/>
  <c r="C19" i="7"/>
  <c r="G18" i="7"/>
  <c r="E18" i="7"/>
  <c r="C18" i="7"/>
  <c r="G17" i="7"/>
  <c r="E17" i="7"/>
  <c r="C17" i="7"/>
  <c r="G16" i="7"/>
  <c r="E16" i="7"/>
  <c r="C16" i="7"/>
  <c r="G14" i="7"/>
  <c r="E14" i="7"/>
  <c r="C14" i="7"/>
  <c r="G13" i="7"/>
  <c r="E13" i="7"/>
  <c r="C13" i="7"/>
  <c r="G12" i="7"/>
  <c r="E12" i="7"/>
  <c r="C12" i="7"/>
  <c r="G11" i="7"/>
  <c r="E11" i="7"/>
  <c r="C11" i="7"/>
  <c r="G10" i="7"/>
  <c r="E10" i="7"/>
  <c r="C10" i="7"/>
  <c r="G9" i="7"/>
  <c r="E9" i="7"/>
  <c r="C9" i="7"/>
  <c r="G8" i="7"/>
  <c r="E8" i="7"/>
  <c r="C8" i="7"/>
  <c r="G7" i="7"/>
  <c r="E7" i="7"/>
  <c r="C7" i="7"/>
  <c r="G6" i="7"/>
  <c r="E6" i="7"/>
  <c r="C6" i="7"/>
  <c r="G5" i="7"/>
  <c r="E5" i="7"/>
  <c r="C5" i="7"/>
  <c r="R25" i="48"/>
  <c r="F15" i="4"/>
  <c r="J15" i="4"/>
  <c r="I16" i="4"/>
  <c r="H17" i="4"/>
  <c r="G18" i="4"/>
  <c r="F19" i="4"/>
  <c r="E20" i="4"/>
  <c r="D21" i="4"/>
  <c r="C15" i="4"/>
  <c r="G15" i="4"/>
  <c r="B16" i="4"/>
  <c r="F16" i="4"/>
  <c r="E17" i="4"/>
  <c r="I17" i="4"/>
  <c r="D18" i="4"/>
  <c r="H18" i="4"/>
  <c r="C19" i="4"/>
  <c r="G19" i="4"/>
  <c r="B20" i="4"/>
  <c r="F20" i="4"/>
  <c r="E21" i="4"/>
  <c r="I21" i="4"/>
  <c r="B15" i="4"/>
  <c r="E16" i="4"/>
  <c r="D17" i="4"/>
  <c r="C18" i="4"/>
  <c r="B19" i="4"/>
  <c r="I20" i="4"/>
  <c r="H21" i="4"/>
  <c r="D15" i="4"/>
  <c r="H15" i="4"/>
  <c r="C16" i="4"/>
  <c r="G16" i="4"/>
  <c r="B17" i="4"/>
  <c r="F17" i="4"/>
  <c r="E18" i="4"/>
  <c r="E22" i="4"/>
  <c r="I18" i="4"/>
  <c r="D19" i="4"/>
  <c r="H19" i="4"/>
  <c r="C20" i="4"/>
  <c r="G20" i="4"/>
  <c r="B21" i="4"/>
  <c r="B22" i="4"/>
  <c r="F21" i="4"/>
  <c r="J12" i="4"/>
  <c r="E15" i="4"/>
  <c r="I15" i="4"/>
  <c r="D16" i="4"/>
  <c r="H16" i="4"/>
  <c r="C17" i="4"/>
  <c r="G17" i="4"/>
  <c r="B18" i="4"/>
  <c r="F18" i="4"/>
  <c r="E19" i="4"/>
  <c r="I19" i="4"/>
  <c r="D20" i="4"/>
  <c r="H20" i="4"/>
  <c r="C21" i="4"/>
  <c r="H22" i="4"/>
  <c r="F36" i="3"/>
  <c r="G33" i="3"/>
  <c r="J12" i="2"/>
  <c r="B19" i="2"/>
  <c r="G31" i="3"/>
  <c r="G23" i="3"/>
  <c r="G15" i="3"/>
  <c r="G7" i="3"/>
  <c r="G8" i="3"/>
  <c r="G14" i="3"/>
  <c r="G16" i="3"/>
  <c r="G10" i="3"/>
  <c r="G12" i="3"/>
  <c r="G22" i="3"/>
  <c r="G18" i="2"/>
  <c r="I16" i="2"/>
  <c r="G14" i="2"/>
  <c r="I19" i="2"/>
  <c r="G17" i="2"/>
  <c r="I15" i="2"/>
  <c r="G13" i="2"/>
  <c r="I18" i="2"/>
  <c r="G16" i="2"/>
  <c r="I14" i="2"/>
  <c r="G19" i="2"/>
  <c r="I17" i="2"/>
  <c r="G15" i="2"/>
  <c r="I13" i="2"/>
  <c r="J19" i="2"/>
  <c r="J16" i="2"/>
  <c r="G32" i="3"/>
  <c r="B37" i="3"/>
  <c r="G4" i="3"/>
  <c r="G24" i="3"/>
  <c r="G9" i="3"/>
  <c r="G17" i="3"/>
  <c r="G25" i="3"/>
  <c r="I23" i="5"/>
  <c r="B35" i="5"/>
  <c r="E35" i="5"/>
  <c r="C35" i="5"/>
  <c r="I33" i="5"/>
  <c r="I19" i="5"/>
  <c r="I31" i="5"/>
  <c r="I9" i="5"/>
  <c r="D35" i="5"/>
  <c r="I11" i="5"/>
  <c r="I22" i="5"/>
  <c r="I21" i="5"/>
  <c r="I5" i="5"/>
  <c r="I4" i="5"/>
  <c r="I7" i="5"/>
  <c r="I18" i="5"/>
  <c r="I17" i="5"/>
  <c r="I24" i="5"/>
  <c r="I30" i="5"/>
  <c r="I8" i="5"/>
  <c r="G35" i="5"/>
  <c r="I28" i="5"/>
  <c r="I13" i="5"/>
  <c r="I15" i="5"/>
  <c r="I26" i="5"/>
  <c r="I29" i="5"/>
  <c r="I25" i="5"/>
  <c r="I27" i="5"/>
  <c r="F35" i="5"/>
  <c r="H35" i="5"/>
  <c r="I6" i="5"/>
  <c r="I32" i="5"/>
  <c r="C23" i="51"/>
  <c r="I23" i="51"/>
  <c r="J21" i="51"/>
  <c r="F3" i="51"/>
  <c r="F4" i="51"/>
  <c r="F5" i="51"/>
  <c r="F6" i="51"/>
  <c r="F7" i="51"/>
  <c r="F8" i="51"/>
  <c r="F9" i="51"/>
  <c r="J22" i="51"/>
  <c r="J20" i="51"/>
  <c r="J18" i="51"/>
  <c r="J16" i="51"/>
  <c r="J14" i="51"/>
  <c r="J12" i="51"/>
  <c r="J10" i="51"/>
  <c r="J6" i="51"/>
  <c r="J9" i="51"/>
  <c r="J5" i="51"/>
  <c r="J4" i="65"/>
  <c r="D3" i="73"/>
  <c r="B26" i="69"/>
  <c r="B41" i="69"/>
  <c r="I16" i="68"/>
  <c r="C24" i="68"/>
  <c r="D4" i="68"/>
  <c r="G4" i="68"/>
  <c r="G24" i="68"/>
  <c r="D5" i="68"/>
  <c r="J5" i="68"/>
  <c r="L5" i="68"/>
  <c r="D6" i="68"/>
  <c r="J6" i="68"/>
  <c r="L6" i="68"/>
  <c r="D7" i="68"/>
  <c r="J7" i="68"/>
  <c r="L7" i="68"/>
  <c r="D8" i="68"/>
  <c r="J8" i="68"/>
  <c r="L8" i="68"/>
  <c r="D9" i="68"/>
  <c r="J9" i="68"/>
  <c r="L9" i="68"/>
  <c r="D10" i="68"/>
  <c r="J10" i="68"/>
  <c r="L10" i="68"/>
  <c r="D11" i="68"/>
  <c r="J11" i="68"/>
  <c r="L11" i="68"/>
  <c r="D12" i="68"/>
  <c r="J12" i="68"/>
  <c r="L12" i="68"/>
  <c r="D13" i="68"/>
  <c r="J13" i="68"/>
  <c r="L13" i="68"/>
  <c r="D14" i="68"/>
  <c r="J14" i="68"/>
  <c r="L14" i="68"/>
  <c r="D15" i="68"/>
  <c r="J15" i="68"/>
  <c r="J4" i="67"/>
  <c r="H40" i="67"/>
  <c r="C41" i="67"/>
  <c r="H30" i="67"/>
  <c r="D32" i="67"/>
  <c r="J32" i="67"/>
  <c r="D34" i="67"/>
  <c r="J34" i="67"/>
  <c r="D36" i="67"/>
  <c r="J36" i="67"/>
  <c r="G40" i="67"/>
  <c r="J40" i="67"/>
  <c r="I40" i="67"/>
  <c r="I42" i="67"/>
  <c r="F39" i="66"/>
  <c r="F40" i="66"/>
  <c r="B40" i="66"/>
  <c r="D40" i="66"/>
  <c r="E37" i="66"/>
  <c r="J4" i="68"/>
  <c r="L4" i="68"/>
  <c r="E36" i="66"/>
  <c r="E28" i="66"/>
  <c r="E20" i="66"/>
  <c r="E12" i="66"/>
  <c r="E4" i="66"/>
  <c r="C40" i="66"/>
  <c r="C38" i="66"/>
  <c r="C37" i="66"/>
  <c r="C36" i="66"/>
  <c r="C35" i="66"/>
  <c r="C34" i="66"/>
  <c r="C33" i="66"/>
  <c r="C32" i="66"/>
  <c r="C31" i="66"/>
  <c r="C30" i="66"/>
  <c r="C29" i="66"/>
  <c r="C28" i="66"/>
  <c r="C27" i="66"/>
  <c r="C26" i="66"/>
  <c r="C25" i="66"/>
  <c r="C24" i="66"/>
  <c r="C23" i="66"/>
  <c r="C22" i="66"/>
  <c r="C21" i="66"/>
  <c r="C20" i="66"/>
  <c r="C19" i="66"/>
  <c r="C18" i="66"/>
  <c r="C17" i="66"/>
  <c r="C16" i="66"/>
  <c r="C15" i="66"/>
  <c r="C14" i="66"/>
  <c r="C13" i="66"/>
  <c r="C12" i="66"/>
  <c r="C11" i="66"/>
  <c r="C10" i="66"/>
  <c r="C9" i="66"/>
  <c r="C8" i="66"/>
  <c r="C7" i="66"/>
  <c r="C6" i="66"/>
  <c r="C5" i="66"/>
  <c r="C4" i="66"/>
  <c r="C3" i="66"/>
  <c r="C39" i="66"/>
  <c r="D13" i="73"/>
  <c r="J6" i="1"/>
  <c r="J7" i="1"/>
  <c r="J8" i="1"/>
  <c r="J9" i="1"/>
  <c r="J11" i="1"/>
  <c r="J12" i="1"/>
  <c r="J13" i="1"/>
  <c r="J14" i="1"/>
  <c r="J18" i="1"/>
  <c r="J19" i="1"/>
  <c r="J20" i="1"/>
  <c r="J21" i="1"/>
  <c r="J23" i="1"/>
  <c r="J24" i="1"/>
  <c r="J25" i="1"/>
  <c r="K28" i="1"/>
  <c r="L28" i="1"/>
  <c r="G26" i="1"/>
  <c r="G25" i="1"/>
  <c r="G24" i="1"/>
  <c r="G23" i="1"/>
  <c r="G21" i="1"/>
  <c r="G20" i="1"/>
  <c r="G19" i="1"/>
  <c r="G18" i="1"/>
  <c r="G14" i="1"/>
  <c r="G13" i="1"/>
  <c r="G12" i="1"/>
  <c r="G11" i="1"/>
  <c r="G9" i="1"/>
  <c r="G8" i="1"/>
  <c r="G7" i="1"/>
  <c r="G6" i="1"/>
  <c r="L16" i="1"/>
  <c r="L26" i="1"/>
  <c r="L25" i="1"/>
  <c r="L24" i="1"/>
  <c r="L23" i="1"/>
  <c r="L21" i="1"/>
  <c r="L20" i="1"/>
  <c r="L19" i="1"/>
  <c r="L18" i="1"/>
  <c r="L14" i="1"/>
  <c r="L13" i="1"/>
  <c r="L12" i="1"/>
  <c r="L11" i="1"/>
  <c r="L9" i="1"/>
  <c r="L8" i="1"/>
  <c r="L7" i="1"/>
  <c r="L6" i="1"/>
  <c r="G16" i="1"/>
  <c r="L4" i="1"/>
  <c r="G4" i="1"/>
  <c r="G28" i="1"/>
  <c r="E3" i="66"/>
  <c r="E7" i="66"/>
  <c r="E11" i="66"/>
  <c r="E15" i="66"/>
  <c r="E19" i="66"/>
  <c r="E23" i="66"/>
  <c r="E27" i="66"/>
  <c r="E31" i="66"/>
  <c r="E35" i="66"/>
  <c r="G41" i="67"/>
  <c r="D30" i="67"/>
  <c r="J30" i="67"/>
  <c r="D4" i="73"/>
  <c r="D9" i="73"/>
  <c r="D14" i="73"/>
  <c r="D18" i="73"/>
  <c r="D22" i="73"/>
  <c r="E33" i="66"/>
  <c r="E29" i="66"/>
  <c r="E25" i="66"/>
  <c r="E21" i="66"/>
  <c r="E17" i="66"/>
  <c r="E13" i="66"/>
  <c r="E9" i="66"/>
  <c r="E5" i="66"/>
  <c r="E6" i="66"/>
  <c r="E10" i="66"/>
  <c r="E14" i="66"/>
  <c r="E18" i="66"/>
  <c r="E22" i="66"/>
  <c r="E26" i="66"/>
  <c r="E30" i="66"/>
  <c r="E34" i="66"/>
  <c r="E40" i="66"/>
  <c r="J3" i="51"/>
  <c r="J7" i="51"/>
  <c r="J4" i="51"/>
  <c r="J8" i="51"/>
  <c r="J11" i="51"/>
  <c r="J13" i="51"/>
  <c r="J15" i="51"/>
  <c r="J17" i="51"/>
  <c r="J19" i="51"/>
  <c r="J13" i="2"/>
  <c r="J14" i="2"/>
  <c r="H14" i="2"/>
  <c r="F16" i="2"/>
  <c r="H18" i="2"/>
  <c r="F13" i="2"/>
  <c r="H15" i="2"/>
  <c r="F17" i="2"/>
  <c r="H19" i="2"/>
  <c r="F14" i="2"/>
  <c r="H16" i="2"/>
  <c r="F18" i="2"/>
  <c r="H13" i="2"/>
  <c r="F15" i="2"/>
  <c r="H17" i="2"/>
  <c r="F19" i="2"/>
  <c r="C22" i="4"/>
  <c r="F22" i="4"/>
  <c r="I14" i="5"/>
  <c r="G21" i="4"/>
  <c r="G22" i="4"/>
  <c r="J17" i="4"/>
  <c r="J19" i="4"/>
  <c r="J21" i="4"/>
  <c r="D23" i="51"/>
  <c r="F10" i="51"/>
  <c r="F21" i="51"/>
  <c r="F19" i="51"/>
  <c r="F17" i="51"/>
  <c r="F15" i="51"/>
  <c r="F13" i="51"/>
  <c r="F11" i="51"/>
  <c r="C38" i="64"/>
  <c r="E37" i="64"/>
  <c r="E5" i="64"/>
  <c r="E3" i="64"/>
  <c r="J5" i="67"/>
  <c r="J7" i="67"/>
  <c r="J9" i="67"/>
  <c r="J11" i="67"/>
  <c r="J13" i="67"/>
  <c r="J15" i="67"/>
  <c r="J17" i="67"/>
  <c r="J19" i="67"/>
  <c r="J21" i="67"/>
  <c r="J23" i="67"/>
  <c r="J25" i="67"/>
  <c r="J27" i="67"/>
  <c r="I22" i="4"/>
  <c r="D22" i="4"/>
  <c r="J18" i="4"/>
  <c r="J20" i="4"/>
  <c r="J22" i="4"/>
  <c r="B16" i="52"/>
  <c r="G6" i="52"/>
  <c r="G8" i="52"/>
  <c r="F38" i="64"/>
  <c r="G37" i="64"/>
  <c r="J33" i="67"/>
  <c r="J37" i="67"/>
  <c r="J39" i="67"/>
  <c r="J45" i="67"/>
  <c r="I7" i="68"/>
  <c r="I9" i="68"/>
  <c r="I11" i="68"/>
  <c r="I13" i="68"/>
  <c r="I15" i="68"/>
  <c r="I18" i="68"/>
  <c r="I20" i="68"/>
  <c r="I22" i="68"/>
  <c r="D6" i="73"/>
  <c r="D11" i="73"/>
  <c r="D17" i="73"/>
  <c r="J6" i="65"/>
  <c r="J39" i="65"/>
  <c r="J8" i="65"/>
  <c r="J10" i="65"/>
  <c r="J12" i="65"/>
  <c r="J14" i="65"/>
  <c r="J16" i="65"/>
  <c r="J18" i="65"/>
  <c r="J20" i="65"/>
  <c r="J22" i="65"/>
  <c r="J24" i="65"/>
  <c r="J26" i="65"/>
  <c r="J28" i="65"/>
  <c r="J30" i="65"/>
  <c r="J32" i="65"/>
  <c r="J34" i="65"/>
  <c r="J38" i="65"/>
  <c r="L15" i="68"/>
  <c r="C15" i="52"/>
  <c r="C10" i="52"/>
  <c r="C6" i="52"/>
  <c r="C14" i="52"/>
  <c r="C9" i="52"/>
  <c r="C5" i="52"/>
  <c r="C11" i="52"/>
  <c r="C13" i="52"/>
  <c r="C8" i="52"/>
  <c r="C3" i="52"/>
  <c r="C12" i="52"/>
  <c r="C7" i="52"/>
  <c r="C4" i="52"/>
  <c r="G10" i="52"/>
  <c r="J21" i="53"/>
  <c r="J19" i="53"/>
  <c r="J17" i="53"/>
  <c r="J15" i="53"/>
  <c r="J13" i="53"/>
  <c r="J11" i="53"/>
  <c r="J9" i="53"/>
  <c r="J7" i="53"/>
  <c r="J5" i="53"/>
  <c r="J3" i="53"/>
  <c r="J4" i="53"/>
  <c r="J6" i="53"/>
  <c r="J8" i="53"/>
  <c r="J10" i="53"/>
  <c r="J12" i="53"/>
  <c r="J14" i="53"/>
  <c r="J16" i="53"/>
  <c r="J18" i="53"/>
  <c r="J20" i="53"/>
  <c r="J22" i="53"/>
  <c r="G36" i="64"/>
  <c r="G35" i="64"/>
  <c r="G34" i="64"/>
  <c r="G33" i="64"/>
  <c r="G32" i="64"/>
  <c r="G31" i="64"/>
  <c r="G30" i="64"/>
  <c r="G29" i="64"/>
  <c r="G28" i="64"/>
  <c r="G27" i="64"/>
  <c r="G26" i="64"/>
  <c r="G25" i="64"/>
  <c r="G24" i="64"/>
  <c r="G23" i="64"/>
  <c r="G22" i="64"/>
  <c r="G21" i="64"/>
  <c r="G20" i="64"/>
  <c r="G19" i="64"/>
  <c r="G18" i="64"/>
  <c r="G17" i="64"/>
  <c r="G16" i="64"/>
  <c r="G15" i="64"/>
  <c r="G14" i="64"/>
  <c r="G13" i="64"/>
  <c r="G12" i="64"/>
  <c r="G11" i="64"/>
  <c r="G10" i="64"/>
  <c r="G9" i="64"/>
  <c r="G8" i="64"/>
  <c r="G7" i="64"/>
  <c r="G6" i="64"/>
  <c r="G5" i="64"/>
  <c r="G4" i="64"/>
  <c r="G3" i="64"/>
  <c r="E39" i="66"/>
  <c r="F23" i="51"/>
  <c r="I34" i="5"/>
  <c r="G14" i="52"/>
  <c r="G9" i="52"/>
  <c r="G5" i="52"/>
  <c r="G15" i="52"/>
  <c r="G13" i="52"/>
  <c r="G11" i="52"/>
  <c r="G12" i="52"/>
  <c r="G7" i="52"/>
  <c r="G3" i="52"/>
  <c r="F22" i="53"/>
  <c r="F20" i="53"/>
  <c r="F18" i="53"/>
  <c r="F16" i="53"/>
  <c r="F14" i="53"/>
  <c r="F12" i="53"/>
  <c r="F10" i="53"/>
  <c r="F8" i="53"/>
  <c r="F6" i="53"/>
  <c r="F4" i="53"/>
  <c r="F21" i="53"/>
  <c r="F19" i="53"/>
  <c r="F17" i="53"/>
  <c r="F15" i="53"/>
  <c r="F13" i="53"/>
  <c r="F11" i="53"/>
  <c r="F9" i="53"/>
  <c r="F7" i="53"/>
  <c r="F5" i="53"/>
  <c r="G29" i="3"/>
  <c r="G21" i="3"/>
  <c r="G13" i="3"/>
  <c r="G5" i="3"/>
  <c r="G34" i="3"/>
  <c r="G20" i="3"/>
  <c r="E37" i="3"/>
  <c r="J18" i="2"/>
  <c r="J15" i="2"/>
  <c r="J17" i="2"/>
  <c r="E13" i="2"/>
  <c r="D14" i="2"/>
  <c r="C15" i="2"/>
  <c r="B16" i="2"/>
  <c r="E17" i="2"/>
  <c r="D18" i="2"/>
  <c r="C19" i="2"/>
  <c r="B13" i="2"/>
  <c r="E14" i="2"/>
  <c r="D15" i="2"/>
  <c r="C16" i="2"/>
  <c r="B17" i="2"/>
  <c r="E18" i="2"/>
  <c r="D19" i="2"/>
  <c r="C13" i="2"/>
  <c r="B14" i="2"/>
  <c r="E15" i="2"/>
  <c r="D16" i="2"/>
  <c r="C17" i="2"/>
  <c r="B18" i="2"/>
  <c r="E19" i="2"/>
  <c r="D13" i="2"/>
  <c r="C14" i="2"/>
  <c r="B15" i="2"/>
  <c r="E16" i="2"/>
  <c r="D17" i="2"/>
  <c r="C18" i="2"/>
  <c r="G6" i="3"/>
  <c r="D37" i="3"/>
  <c r="G28" i="3"/>
  <c r="G26" i="3"/>
  <c r="G30" i="3"/>
  <c r="G18" i="3"/>
  <c r="C37" i="3"/>
  <c r="G11" i="3"/>
  <c r="G19" i="3"/>
  <c r="G27" i="3"/>
  <c r="G35" i="3"/>
  <c r="G4" i="52"/>
  <c r="F3" i="53"/>
  <c r="F23" i="53"/>
  <c r="E6" i="64"/>
  <c r="E7" i="64"/>
  <c r="E8" i="64"/>
  <c r="E9" i="64"/>
  <c r="E10" i="64"/>
  <c r="E11" i="64"/>
  <c r="E12" i="64"/>
  <c r="E13" i="64"/>
  <c r="E14" i="64"/>
  <c r="E15" i="64"/>
  <c r="E16" i="64"/>
  <c r="E17" i="64"/>
  <c r="E18" i="64"/>
  <c r="E19" i="64"/>
  <c r="E20" i="64"/>
  <c r="E21" i="64"/>
  <c r="E22" i="64"/>
  <c r="E23" i="64"/>
  <c r="E24" i="64"/>
  <c r="E25" i="64"/>
  <c r="E26" i="64"/>
  <c r="E27" i="64"/>
  <c r="E28" i="64"/>
  <c r="E29" i="64"/>
  <c r="E30" i="64"/>
  <c r="E31" i="64"/>
  <c r="E32" i="64"/>
  <c r="E33" i="64"/>
  <c r="E34" i="64"/>
  <c r="E35" i="64"/>
  <c r="E36" i="64"/>
  <c r="I5" i="68"/>
  <c r="I24" i="68"/>
  <c r="D17" i="68"/>
  <c r="D18" i="68"/>
  <c r="J18" i="68"/>
  <c r="L18" i="68"/>
  <c r="D19" i="68"/>
  <c r="J19" i="68"/>
  <c r="L19" i="68"/>
  <c r="D20" i="68"/>
  <c r="J20" i="68"/>
  <c r="L20" i="68"/>
  <c r="D21" i="68"/>
  <c r="J21" i="68"/>
  <c r="L21" i="68"/>
  <c r="D22" i="68"/>
  <c r="J22" i="68"/>
  <c r="L22" i="68"/>
  <c r="E7" i="1"/>
  <c r="E9" i="1"/>
  <c r="E12" i="1"/>
  <c r="E14" i="1"/>
  <c r="E16" i="1"/>
  <c r="E28" i="1"/>
  <c r="J16" i="1"/>
  <c r="E18" i="1"/>
  <c r="E20" i="1"/>
  <c r="E23" i="1"/>
  <c r="E25" i="1"/>
  <c r="F37" i="3"/>
  <c r="G36" i="3"/>
  <c r="J23" i="51"/>
  <c r="G38" i="64"/>
  <c r="J23" i="53"/>
  <c r="C16" i="52"/>
  <c r="J17" i="68"/>
  <c r="D24" i="68"/>
  <c r="E38" i="64"/>
  <c r="G16" i="52"/>
  <c r="L17" i="68"/>
  <c r="L24" i="68"/>
  <c r="J24" i="68"/>
  <c r="H41" i="67"/>
  <c r="E8" i="66"/>
  <c r="E16" i="66"/>
  <c r="E24" i="66"/>
  <c r="E32" i="66"/>
  <c r="I41" i="67"/>
  <c r="D24" i="62"/>
  <c r="D51" i="62"/>
  <c r="G14" i="66"/>
  <c r="G19" i="66"/>
  <c r="G28" i="66"/>
  <c r="G33" i="66"/>
  <c r="G34" i="66"/>
  <c r="G31" i="66"/>
  <c r="G40" i="66"/>
  <c r="G24" i="66"/>
  <c r="G29" i="66"/>
  <c r="G22" i="66"/>
  <c r="G27" i="66"/>
  <c r="G36" i="66"/>
  <c r="G4" i="66"/>
  <c r="G9" i="66"/>
  <c r="G10" i="66"/>
  <c r="G7" i="66"/>
  <c r="G32" i="66"/>
  <c r="G37" i="66"/>
  <c r="G5" i="66"/>
  <c r="G30" i="66"/>
  <c r="G35" i="66"/>
  <c r="G3" i="66"/>
  <c r="G12" i="66"/>
  <c r="G17" i="66"/>
  <c r="G18" i="66"/>
  <c r="G15" i="66"/>
  <c r="G39" i="66"/>
  <c r="G8" i="66"/>
  <c r="G13" i="66"/>
  <c r="G6" i="66"/>
  <c r="G11" i="66"/>
  <c r="G20" i="66"/>
  <c r="G25" i="66"/>
  <c r="G26" i="66"/>
  <c r="G23" i="66"/>
  <c r="G38" i="66"/>
  <c r="G16" i="66"/>
  <c r="G21" i="66"/>
  <c r="J29" i="67"/>
  <c r="J41" i="67"/>
  <c r="D41" i="67"/>
</calcChain>
</file>

<file path=xl/sharedStrings.xml><?xml version="1.0" encoding="utf-8"?>
<sst xmlns="http://schemas.openxmlformats.org/spreadsheetml/2006/main" count="1367" uniqueCount="621">
  <si>
    <t>2009/2010</t>
  </si>
  <si>
    <t>I</t>
  </si>
  <si>
    <t>I+II</t>
  </si>
  <si>
    <t>II</t>
  </si>
  <si>
    <t>III</t>
  </si>
  <si>
    <t>Tabuľka č. 1: Počet a štruktúra študentov podľa formy, stupňa štúdia a typu vysokej školy</t>
  </si>
  <si>
    <t>SR</t>
  </si>
  <si>
    <t>denná forma</t>
  </si>
  <si>
    <t>externá forma</t>
  </si>
  <si>
    <t>denná</t>
  </si>
  <si>
    <t>externá</t>
  </si>
  <si>
    <t>Poľnohosp.-lesnícke a veterinárne vedy a náuky</t>
  </si>
  <si>
    <t>Prírodné vedy</t>
  </si>
  <si>
    <t>Spoločenské vedy, náuky a služby</t>
  </si>
  <si>
    <t>Technické vedy a náuky</t>
  </si>
  <si>
    <t>Vedy a náuky o kultúre a umení</t>
  </si>
  <si>
    <t>Vojenské a bezpečnostné vedy a náuky</t>
  </si>
  <si>
    <t>Zdravotníctvo</t>
  </si>
  <si>
    <t>Spolu</t>
  </si>
  <si>
    <t>Typ vysokej školy</t>
  </si>
  <si>
    <t>Stupeň štúdia</t>
  </si>
  <si>
    <t>Skupina študijných odborov</t>
  </si>
  <si>
    <t xml:space="preserve"> v % vyjadrení</t>
  </si>
  <si>
    <t>spolu</t>
  </si>
  <si>
    <t>Zdroj: UIPŠ</t>
  </si>
  <si>
    <t>UK Bratislava</t>
  </si>
  <si>
    <t>STU Bratislava</t>
  </si>
  <si>
    <t>TU Košice</t>
  </si>
  <si>
    <t>VŠZaSP Bratislava</t>
  </si>
  <si>
    <t>EU Bratislava</t>
  </si>
  <si>
    <t>UKF Nitra</t>
  </si>
  <si>
    <t>PU Prešov</t>
  </si>
  <si>
    <t>SPU Nitra</t>
  </si>
  <si>
    <t>UPJŠ Košice</t>
  </si>
  <si>
    <t>TvU Trnava</t>
  </si>
  <si>
    <t>KU Ružomberok</t>
  </si>
  <si>
    <t>UCM Trnava</t>
  </si>
  <si>
    <t>VŠEMVS Bratislava</t>
  </si>
  <si>
    <t>TU Zvolen</t>
  </si>
  <si>
    <t>DTI Dubnica</t>
  </si>
  <si>
    <t>VŠBM Košice</t>
  </si>
  <si>
    <t>VŠ Sládkovičovo</t>
  </si>
  <si>
    <t>UJS Komárno</t>
  </si>
  <si>
    <t>VŠMU Bratislava</t>
  </si>
  <si>
    <t>SVŠ Skalica</t>
  </si>
  <si>
    <t>VŠVU Bratislava</t>
  </si>
  <si>
    <t>Stupeň</t>
  </si>
  <si>
    <t>Vysoká škola</t>
  </si>
  <si>
    <t>I alebo II</t>
  </si>
  <si>
    <t>ŽU Žilina</t>
  </si>
  <si>
    <t>VŠM Trenčín</t>
  </si>
  <si>
    <t>SEVŠ Skalica</t>
  </si>
  <si>
    <t xml:space="preserve">Prihlášky </t>
  </si>
  <si>
    <t>Prihlásení</t>
  </si>
  <si>
    <t>Prihlášky / prihlásení</t>
  </si>
  <si>
    <t>Prijatia</t>
  </si>
  <si>
    <t>Prijatí</t>
  </si>
  <si>
    <t>Zapísaní</t>
  </si>
  <si>
    <t>POĽN.- LESNÍCKE A VETERINÁRNE VEDY A NÁUKY</t>
  </si>
  <si>
    <t>VEDY A NÁUKY O KULTÚRE A UMENÍ</t>
  </si>
  <si>
    <t>počet</t>
  </si>
  <si>
    <t>podiel</t>
  </si>
  <si>
    <t>denná forma štúdia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</si>
  <si>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</si>
  <si>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</si>
  <si>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</si>
  <si>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</si>
  <si>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</si>
  <si>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</si>
  <si>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</si>
  <si>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</si>
  <si>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externá forma štúdia</t>
  </si>
  <si>
    <t>denná a externá forma spolu</t>
  </si>
  <si>
    <t xml:space="preserve">maturanti </t>
  </si>
  <si>
    <t>% maturantov</t>
  </si>
  <si>
    <t>ostatní</t>
  </si>
  <si>
    <t>Prihlášky</t>
  </si>
  <si>
    <t>Zápis</t>
  </si>
  <si>
    <t>celkový počet</t>
  </si>
  <si>
    <t>V tom cudzinci</t>
  </si>
  <si>
    <t>Verejné</t>
  </si>
  <si>
    <t>Súkromné</t>
  </si>
  <si>
    <t>Podiel v SR</t>
  </si>
  <si>
    <t xml:space="preserve">Stupeň </t>
  </si>
  <si>
    <t>Podiel VŠ</t>
  </si>
  <si>
    <t>PRÍRODNÉ VEDY</t>
  </si>
  <si>
    <t>Prihlásení
 (fyzické osoby)</t>
  </si>
  <si>
    <t>Prijatí 
(fyzické osoby)</t>
  </si>
  <si>
    <t>Zapísaní
(fyzické osoby)</t>
  </si>
  <si>
    <t>Za všetky skupiny</t>
  </si>
  <si>
    <t>Vek</t>
  </si>
  <si>
    <t>≤ 20</t>
  </si>
  <si>
    <t>61 ≤</t>
  </si>
  <si>
    <t>Forma</t>
  </si>
  <si>
    <t>Obe</t>
  </si>
  <si>
    <t>Denná</t>
  </si>
  <si>
    <t>Externá</t>
  </si>
  <si>
    <t>Rok</t>
  </si>
  <si>
    <t>Uchádzači</t>
  </si>
  <si>
    <t>z tej istej školy</t>
  </si>
  <si>
    <t xml:space="preserve"> % z celkového
počtu</t>
  </si>
  <si>
    <t>X</t>
  </si>
  <si>
    <t>Tabuľka č. 1:</t>
  </si>
  <si>
    <t>Počet a štruktúra študentov podľa formy, stupňa a typu vysokej školy</t>
  </si>
  <si>
    <t>Tabuľka č. 2:</t>
  </si>
  <si>
    <t>Tabuľka č. 3:</t>
  </si>
  <si>
    <t>Tabuľka č. 4:</t>
  </si>
  <si>
    <t>Tabuľka č. 7:</t>
  </si>
  <si>
    <t>PEVŠ Bratislava</t>
  </si>
  <si>
    <t>2010/2011</t>
  </si>
  <si>
    <t>z toho cudzinci</t>
  </si>
  <si>
    <t>UVLF Košice</t>
  </si>
  <si>
    <t>Počet učiteľov</t>
  </si>
  <si>
    <t>Priemerný plat učiteľov</t>
  </si>
  <si>
    <t>z toho:</t>
  </si>
  <si>
    <t>Počet výskumných pracovníkov</t>
  </si>
  <si>
    <t>Priemerný plat výskumných pracovníkov</t>
  </si>
  <si>
    <t>Počet neučiteľov</t>
  </si>
  <si>
    <t>Priemerný plat neučiteľov</t>
  </si>
  <si>
    <t>Počet všetkých zamestnancov</t>
  </si>
  <si>
    <t>Priemerný plat všetkých zamestnancov</t>
  </si>
  <si>
    <t>Počet profesorov</t>
  </si>
  <si>
    <t>Priemerný plat profesorov</t>
  </si>
  <si>
    <t>Priemerný plat docentov</t>
  </si>
  <si>
    <t xml:space="preserve">Počet  odborných asistentov </t>
  </si>
  <si>
    <t>Priemerný plat odborných asistentov</t>
  </si>
  <si>
    <t xml:space="preserve">Počet  asistentov </t>
  </si>
  <si>
    <t>Priemerný plat  asistentov</t>
  </si>
  <si>
    <t>Počet  lektorov</t>
  </si>
  <si>
    <t>Priemerný plat  lektorov</t>
  </si>
  <si>
    <t xml:space="preserve">KU Ružomberok </t>
  </si>
  <si>
    <t>Zdroj: Štvrťročný výkaz o práci vysokých škôl a ostatných organizácií priamo riadených MŠVV a Š SR /Škol (MŠVV a Š SR) 2-04/</t>
  </si>
  <si>
    <t xml:space="preserve">Počet docentov </t>
  </si>
  <si>
    <t>Účet</t>
  </si>
  <si>
    <t>Rok 2010</t>
  </si>
  <si>
    <t>Náklady
hlavnej činnosti</t>
  </si>
  <si>
    <t>501 - Spotreba materiálu</t>
  </si>
  <si>
    <t>502 - Spotreba energie</t>
  </si>
  <si>
    <t>511 - Opravy a udržiavanie</t>
  </si>
  <si>
    <t>512 - Cestovné</t>
  </si>
  <si>
    <t>518 - Ostatné služby</t>
  </si>
  <si>
    <t>521 - Mzdové náklady</t>
  </si>
  <si>
    <t>525 - Ostatné sociálne poistenie</t>
  </si>
  <si>
    <t>527 - Zakonné sociálne náklady</t>
  </si>
  <si>
    <t xml:space="preserve">528 - Ostatné sociálne náklady </t>
  </si>
  <si>
    <t>531 - Daň z motorových vozidiel</t>
  </si>
  <si>
    <t>532 - Daň z nehnuteľností</t>
  </si>
  <si>
    <t>538 - Ostatné dane a poplatky</t>
  </si>
  <si>
    <t>541 - Zmluvné pokuty a penále</t>
  </si>
  <si>
    <t>542 - Ostatné pokuty a penále</t>
  </si>
  <si>
    <t>543 - Odpísanie pohľadávky</t>
  </si>
  <si>
    <t>544 - Úroky</t>
  </si>
  <si>
    <t>545 - Kurzové straty</t>
  </si>
  <si>
    <t>546 - Dary</t>
  </si>
  <si>
    <t>547 - Osobitné náklady</t>
  </si>
  <si>
    <t>548 - Manká a škody</t>
  </si>
  <si>
    <t>549 - Iné ostatné náklady</t>
  </si>
  <si>
    <t>554 - Predaný materiál</t>
  </si>
  <si>
    <t>556 - Tvorba fondov</t>
  </si>
  <si>
    <t>557 - Náklady z precenenie cenných papierov</t>
  </si>
  <si>
    <t>562 - Poskytnuté príspevky iným účtovným jednotkám</t>
  </si>
  <si>
    <t>563 - Poskytnuté príspevky fyzickým osobám</t>
  </si>
  <si>
    <t>Počet poberateľov sociálnych štipendií k 31.12.2010</t>
  </si>
  <si>
    <t>Počet nových projektov, 
ktoré sa uchádzali o podporu</t>
  </si>
  <si>
    <t xml:space="preserve">Počet nových  projektov, 
ktoré získali podporu   </t>
  </si>
  <si>
    <t xml:space="preserve">Počet podporovaných pokračujúcich    projektov </t>
  </si>
  <si>
    <t xml:space="preserve">Celkový počet podporovaných projektov   </t>
  </si>
  <si>
    <t xml:space="preserve">Podiel vysokej školy na celkovom počte podporovaných projektov 
(v %) </t>
  </si>
  <si>
    <t>Objem finančnej podpory na projekty - bežné výdavky 
(v €)</t>
  </si>
  <si>
    <t>Objem finančnej podpory na projekty - kapitálové výdavky 
(v €)</t>
  </si>
  <si>
    <t>Celkový objem finančnej podpory na projekty
(v €)</t>
  </si>
  <si>
    <t xml:space="preserve">Podiel vysokej školy na celkovom objeme pridelených finančných prostriedkov 
(v %) </t>
  </si>
  <si>
    <t>UMB Banská Bystrica</t>
  </si>
  <si>
    <t>AU Banská Bystrica</t>
  </si>
  <si>
    <t>Názov komisie</t>
  </si>
  <si>
    <t>Celkový počet podporovaných projektov</t>
  </si>
  <si>
    <t xml:space="preserve">Podiel komisie na celkovom počte podporovaných projektov 
(v %) </t>
  </si>
  <si>
    <t>Celkový objem finančnej podpory na projekty 
(v €)</t>
  </si>
  <si>
    <t>Podiel komisie na celkovom objeme pridelených finančných prostriedkov 
(v %)</t>
  </si>
  <si>
    <t>Komisia VEGA č. 1 pre matematické vedy, počítačové a informatické vedy a fyzikálne vedy</t>
  </si>
  <si>
    <t>Komisia VEGA č. 2 pre vedy o Zemi a vesmíre, environmentálne vedy (aj zemské zdroje)</t>
  </si>
  <si>
    <t>Komisia VEGA č. 5 pre elektrotechniku, automatizáciu a riadiace systémy a príbuzné odbory informačných a komunikačných technológií</t>
  </si>
  <si>
    <t>Komisia VEGA č. 8 pre pôdohospodárske, veterinárske a drevárske vedy</t>
  </si>
  <si>
    <t>Komisia VEGA č. 9 pre lekárske vedy a farmaceutické vedy</t>
  </si>
  <si>
    <t>Komisia VEGA č. 10 pre historické vedy a vedy o spoločnosti (filozofia, sociológia, politológia, teológia)</t>
  </si>
  <si>
    <t>Komisia VEGA č. 11 pre vedy o človeku (psychológia, pedagogika, vedy o športe)</t>
  </si>
  <si>
    <t>Komisia VEGA č. 12 pre vedy o umení, estetiku a jazykovedu</t>
  </si>
  <si>
    <t>Komisia VEGA č. 13 pre ekonomické a právne vedy</t>
  </si>
  <si>
    <t>Zdroj: APVV</t>
  </si>
  <si>
    <t>Lôžková kapacita študentských domovov k 31.12.2010</t>
  </si>
  <si>
    <t>Počet nevybavených žiadostí o ubytovanie v roku 2010</t>
  </si>
  <si>
    <t>stále aktíva</t>
  </si>
  <si>
    <t>dlhodobý nehmotný majetok</t>
  </si>
  <si>
    <t>software</t>
  </si>
  <si>
    <t>oceniteľné práva</t>
  </si>
  <si>
    <t>ostatný dlhodobý nehmotný majetok</t>
  </si>
  <si>
    <t>obstaranie dlhodobého nehmotného majetku</t>
  </si>
  <si>
    <t>poskytnuté preddavky na dlhodobý nehm. majetok</t>
  </si>
  <si>
    <t>dlhodobý nehmotný majetok Celkom</t>
  </si>
  <si>
    <t>dlhodobý hmotný majetok</t>
  </si>
  <si>
    <t>pozemky</t>
  </si>
  <si>
    <t>umelecké diela a zbierky</t>
  </si>
  <si>
    <t>obstaranie dlhodobého hmotného majetku</t>
  </si>
  <si>
    <t>stavby</t>
  </si>
  <si>
    <t>dopravné prostriedky</t>
  </si>
  <si>
    <t>pestovateľské celky trvalých porastov</t>
  </si>
  <si>
    <t>základné stádo a ťažné zvieratá</t>
  </si>
  <si>
    <t>drobný dlhodobý majetok</t>
  </si>
  <si>
    <t>ostatný dlhodobý hmotný majetok</t>
  </si>
  <si>
    <t>poskytnuté preddavky na dlhodobý hmotný majetok</t>
  </si>
  <si>
    <t>dlhodobý hmotný majetok Celkom</t>
  </si>
  <si>
    <t>finančné investície</t>
  </si>
  <si>
    <t xml:space="preserve">Podiel. cennné papiere a podiely v obch. spol. v ovládan. osobe </t>
  </si>
  <si>
    <t>Podiel. cené papiere a podiely v obch. spol. s podstat. vplyvom</t>
  </si>
  <si>
    <t xml:space="preserve">Ostatný dlhodobý finančný majetok </t>
  </si>
  <si>
    <t>finančné investície Celkom</t>
  </si>
  <si>
    <t>stále aktíva Celkom</t>
  </si>
  <si>
    <t>obežné aktíva</t>
  </si>
  <si>
    <t>zásoby</t>
  </si>
  <si>
    <t>materiál</t>
  </si>
  <si>
    <t>nedokončená výroba a polotovary</t>
  </si>
  <si>
    <t>výrobky</t>
  </si>
  <si>
    <t>zvieratá</t>
  </si>
  <si>
    <t>tovar</t>
  </si>
  <si>
    <t xml:space="preserve">Poskytnuté prevádzkové preddavky na zásoby </t>
  </si>
  <si>
    <t>zásoby Celkom</t>
  </si>
  <si>
    <t>dlhodobé pohľadávky</t>
  </si>
  <si>
    <t>pohľadávky z obchodného styku</t>
  </si>
  <si>
    <t>ostatné pohľadávky</t>
  </si>
  <si>
    <t>iné pohľadávky</t>
  </si>
  <si>
    <t>dlhodobé pohľadávky Celkom</t>
  </si>
  <si>
    <t>krátkodobé pohľadávky</t>
  </si>
  <si>
    <t>ostatné pohľdávky</t>
  </si>
  <si>
    <t>daňové pohľadávky</t>
  </si>
  <si>
    <t>pohľ.z dôvodu fin.vzťahov k ŠR a rozpočtom úz.správ</t>
  </si>
  <si>
    <t xml:space="preserve">zúčtovanie zo Sociálnou poisť. a zdravot.poisťovňami </t>
  </si>
  <si>
    <t>krátkodobé pohľadávky Celkom</t>
  </si>
  <si>
    <t xml:space="preserve">finančný majetok </t>
  </si>
  <si>
    <t>pokladnica</t>
  </si>
  <si>
    <t>bankové účty</t>
  </si>
  <si>
    <t>finančný majetok  Celkom</t>
  </si>
  <si>
    <t>obežné aktíva Celkom</t>
  </si>
  <si>
    <t>časové rozlíšenie</t>
  </si>
  <si>
    <t>prechodné účty aktív</t>
  </si>
  <si>
    <t>náklady budúcich období</t>
  </si>
  <si>
    <t>príjmy budúcich období</t>
  </si>
  <si>
    <t>prechodné účty aktív Celkom</t>
  </si>
  <si>
    <t>prechodné účty Celkom</t>
  </si>
  <si>
    <t>Celkový súčet</t>
  </si>
  <si>
    <t>vlastné zdroje</t>
  </si>
  <si>
    <t>imanie a peňažné fondy</t>
  </si>
  <si>
    <t>základné imanie</t>
  </si>
  <si>
    <t>fondy podľa osobitného predpisu</t>
  </si>
  <si>
    <t>fond reprodukcie</t>
  </si>
  <si>
    <t>rozdiely z precenenia majetku a záväzkov</t>
  </si>
  <si>
    <t>rezervný fond</t>
  </si>
  <si>
    <t>fondy tvorené zo zisku</t>
  </si>
  <si>
    <t>ostatné fondy</t>
  </si>
  <si>
    <t>výsledok hospodárenia</t>
  </si>
  <si>
    <t>nevysporiadaný výsledok hospodárenia z minulých rokov</t>
  </si>
  <si>
    <t>výsledok hospodárenia za účt. obdobie</t>
  </si>
  <si>
    <t>výsledok hospodárenia Celkom</t>
  </si>
  <si>
    <t>rezervy zákonné</t>
  </si>
  <si>
    <t>krátkodobé  rezervy</t>
  </si>
  <si>
    <t>rezervy zákonné Celkom</t>
  </si>
  <si>
    <t>dlhodobé záväzky</t>
  </si>
  <si>
    <t>sociálny fond</t>
  </si>
  <si>
    <t>záväzky z prenájmu</t>
  </si>
  <si>
    <t>ostatné dlhodobé záväzky</t>
  </si>
  <si>
    <t>dlhodobé záväzky Celkom</t>
  </si>
  <si>
    <t>krátkodobé záväzky</t>
  </si>
  <si>
    <t>záväzky z obchodného styku</t>
  </si>
  <si>
    <t>záväzky voči zamestnancom</t>
  </si>
  <si>
    <t xml:space="preserve">zúčtovanie so sociálnou poisťonňou a zdravot. poisťovňami  </t>
  </si>
  <si>
    <t>záväzky z titulu finančných vzťahov k štátnemu rozpočtu a orgánov miestnej samosprávy</t>
  </si>
  <si>
    <t>daňové záväzky</t>
  </si>
  <si>
    <t>ostatné záväzky</t>
  </si>
  <si>
    <t>krátkodobé záväzky Celkom</t>
  </si>
  <si>
    <t>banková výpomoc</t>
  </si>
  <si>
    <t>dlhodobé bankové úvery</t>
  </si>
  <si>
    <t>bežné bankové úvery</t>
  </si>
  <si>
    <t>prijaté krátkodobé finančné výpomoci</t>
  </si>
  <si>
    <t>banková výpomoc Celkom</t>
  </si>
  <si>
    <t>cudzie zdroje Celkom</t>
  </si>
  <si>
    <t>prechodné účty pasív</t>
  </si>
  <si>
    <t>výdavky budúcich období</t>
  </si>
  <si>
    <t>výnosy budúcich období</t>
  </si>
  <si>
    <t>prechodné účty pasív Celkom</t>
  </si>
  <si>
    <t xml:space="preserve">Celkový súčet </t>
  </si>
  <si>
    <t>Výnosy
hlavnej činnosti</t>
  </si>
  <si>
    <t>Výnosy podnikateľskej činnosti</t>
  </si>
  <si>
    <t>Výnosy spolu</t>
  </si>
  <si>
    <t>601 - Tržby za vlastné výrobky</t>
  </si>
  <si>
    <t>602 - Tržby z predaja služieb</t>
  </si>
  <si>
    <t>611 - Zmena stavu nedokončenej výroby</t>
  </si>
  <si>
    <t>612 - Zmena stavu zásob polotovarov</t>
  </si>
  <si>
    <t>614 - Zmena stavu zvierat</t>
  </si>
  <si>
    <t>621 - Aktivácia materiálu a tovaru</t>
  </si>
  <si>
    <t>622 - Aktivácia vnútroorganizačných služieb</t>
  </si>
  <si>
    <t>623 - Aktivácia dlhodobého nehmotného majetku</t>
  </si>
  <si>
    <t>624 - Aktivácia dlhodobého hmotného majetku</t>
  </si>
  <si>
    <t>641 - Zmluvné pokuty a úroky z omeškania</t>
  </si>
  <si>
    <t>642 - Ostatné pokuty a penále</t>
  </si>
  <si>
    <t>643 - Platby za odpísané pohľadávky</t>
  </si>
  <si>
    <t>644 - Úroky</t>
  </si>
  <si>
    <t>645 - Kurzové zisky</t>
  </si>
  <si>
    <t>646 - Prijaté dary</t>
  </si>
  <si>
    <t>647 - Osobitné výnosy</t>
  </si>
  <si>
    <t>648 - Zákonné poplatky</t>
  </si>
  <si>
    <t>649 - Iné ostatné výnosy</t>
  </si>
  <si>
    <t>651 - Tržby z predaja dlhodobého nehmotného a hmotného majetku</t>
  </si>
  <si>
    <t>652 - Výnosy z dlhodobého finančného majetku</t>
  </si>
  <si>
    <t>653 - Tržby z predaja cenných papierov a vkladov</t>
  </si>
  <si>
    <t>654 - Tržby z predaja materiálu</t>
  </si>
  <si>
    <t>655 - Výnosy z krátkodobého finančného majetku</t>
  </si>
  <si>
    <t>656 - Výnosy z použitia fondu</t>
  </si>
  <si>
    <t>657 - Výnosy z precenenia cenných papierov</t>
  </si>
  <si>
    <t>658 - Výnosy z prenájmu majetku</t>
  </si>
  <si>
    <t>661 - Prijaté príspevky od organizačných zložiek</t>
  </si>
  <si>
    <t xml:space="preserve">662 - Prijaté príspevky od iných organizácií </t>
  </si>
  <si>
    <t>663 - Prijaté príspevky od fyzických osôb</t>
  </si>
  <si>
    <t>664 - Prijaté členské príspevky</t>
  </si>
  <si>
    <t>665 - Príspevky z podielu zaplatenej dane</t>
  </si>
  <si>
    <t>667 - Prijaté príspevky z verejných zbierok</t>
  </si>
  <si>
    <t>691 - Dotácie na prevádzku</t>
  </si>
  <si>
    <t>Výsledok hospodárenia pred zdanením</t>
  </si>
  <si>
    <t>591 - Daň z príjmov</t>
  </si>
  <si>
    <t>595 - Dodatočné odvody dane z príjmov</t>
  </si>
  <si>
    <t>Výsledok hospodárenia po zdanení</t>
  </si>
  <si>
    <t>656 - Zúčtovanie zákonných rezerv</t>
  </si>
  <si>
    <t>Náklady podnikateľskej činnosti</t>
  </si>
  <si>
    <t>Náklady spolu</t>
  </si>
  <si>
    <t>524 - Zakonné sociálne poistenie a zdravotné poist.</t>
  </si>
  <si>
    <t>551 - Odpisy dlhodobého nehmotného a hmotného majetku</t>
  </si>
  <si>
    <t>552 - Zostatková cena predaného nehmotného a hmotného majetku</t>
  </si>
  <si>
    <t>553 - Predané cenné papiere</t>
  </si>
  <si>
    <t>555- Náklady na krátkodobý finančný majetok</t>
  </si>
  <si>
    <t>557 - Náklady na precenenie cenných papierov</t>
  </si>
  <si>
    <t>558 - Tvorba a zúčtovanie opravných položiek</t>
  </si>
  <si>
    <t>561 - Poskytnuté príspevky organizačným zložkám</t>
  </si>
  <si>
    <t>565 - Poskytnuté príspevky z podielu zaplatenej dane</t>
  </si>
  <si>
    <t xml:space="preserve">567 -  Poskytnuté príspevky z verejnej zbierky </t>
  </si>
  <si>
    <t xml:space="preserve"> Výsledok hospodárenia pred zdanením</t>
  </si>
  <si>
    <t>565 - Poskytnuté príspevky z rozdielu zaplatenej dane</t>
  </si>
  <si>
    <t>Výnosy 
hlavnej 
činnosti</t>
  </si>
  <si>
    <t>Náklady 
hlavnej 
činnosti</t>
  </si>
  <si>
    <t>Výsledok hospodárenia hlavnej činnosti</t>
  </si>
  <si>
    <t>Výnosy podnikateľ
skej činnosti</t>
  </si>
  <si>
    <t>Náklady podnikateľ
skej činnosti</t>
  </si>
  <si>
    <t>Výsledok hospodárenia podnikateľ
skej činnosti</t>
  </si>
  <si>
    <t>Výnosy 
spolu</t>
  </si>
  <si>
    <t xml:space="preserve">Nerozdelený zisk, 
neuhradená 
strata 
minulých 
rokov </t>
  </si>
  <si>
    <t>646 -Prijaté dary</t>
  </si>
  <si>
    <t>647 -Osobitné výnosy</t>
  </si>
  <si>
    <t>648-Zákonné poplatky</t>
  </si>
  <si>
    <t>661 - Prijaté príspevky od org.zložiek</t>
  </si>
  <si>
    <t>667- Prijaté príspevky z verejných zbierok</t>
  </si>
  <si>
    <t>691 - Prevádzkové dotácie</t>
  </si>
  <si>
    <t>Výnosy hlavnej činnosti</t>
  </si>
  <si>
    <t>Náklady hlavnej činnosti</t>
  </si>
  <si>
    <t>Stav k 31. 12. 2010  (v Eur )</t>
  </si>
  <si>
    <t>Zvyšok prijatej kapitálovej dotácie používanej na kompenzáciu odpisov majetku z nej obstaraného</t>
  </si>
  <si>
    <t xml:space="preserve">Bežná dotácia na úlohy budúcich období </t>
  </si>
  <si>
    <t>Prostriedky zo zahraničných projektov na budúce aktivity</t>
  </si>
  <si>
    <t>Ostatné</t>
  </si>
  <si>
    <t>Tabuľka č. 11:</t>
  </si>
  <si>
    <t>Tabuľka č. 13:</t>
  </si>
  <si>
    <t>Tabuľka č. 12a:</t>
  </si>
  <si>
    <t>Tabuľka č. 12b:</t>
  </si>
  <si>
    <t>Tabuľka č. 14a:</t>
  </si>
  <si>
    <t>Tabuľka č. 14b:</t>
  </si>
  <si>
    <t>Sektor výskumu a vývoja</t>
  </si>
  <si>
    <t>Tabuľka č. 16:</t>
  </si>
  <si>
    <t>Tabuľka č. 18:</t>
  </si>
  <si>
    <t>Tabuľka č. 20:</t>
  </si>
  <si>
    <t>Poznámka: V jednotlivých sumách nie sú zahrnuté vratky.</t>
  </si>
  <si>
    <t>Tabuľka č. 21:</t>
  </si>
  <si>
    <t>Tabuľka č. 22:</t>
  </si>
  <si>
    <t>Tabuľka č. 23:</t>
  </si>
  <si>
    <t>Tabuľka č. 24:</t>
  </si>
  <si>
    <t>Tabuľka č. 25:</t>
  </si>
  <si>
    <t>Tabuľka č. 26:</t>
  </si>
  <si>
    <t>Počet vymenovaných</t>
  </si>
  <si>
    <t>merná jednotka</t>
  </si>
  <si>
    <t>osoby</t>
  </si>
  <si>
    <t>€</t>
  </si>
  <si>
    <t>TUAD Trenčín</t>
  </si>
  <si>
    <t>Tabuľka č. 10:</t>
  </si>
  <si>
    <t>-</t>
  </si>
  <si>
    <t>Sektor ostatných vysokých škôl</t>
  </si>
  <si>
    <t>VŠZSP sv.Alžbety Bratislava</t>
  </si>
  <si>
    <t>2011/2012</t>
  </si>
  <si>
    <t>z toho
denné</t>
  </si>
  <si>
    <t>Tabuľka č. 2: Študenti podľa skupín študijných odborov (2011/2012)</t>
  </si>
  <si>
    <t>Tabuľka č. 3: Podiel vysokých škôl na počte študentov (2011/2012)</t>
  </si>
  <si>
    <t>BISLA Bratislava</t>
  </si>
  <si>
    <t>AM Bratislava</t>
  </si>
  <si>
    <t>Tabuľka č. 4: Absolventi podľa skupín študijných odborov (2011)</t>
  </si>
  <si>
    <t>Tabuľka č. 5: Počet absolventov podľa vysokej školy, stupňa
a formy štúdia (2011)</t>
  </si>
  <si>
    <t>Tabuľka č. 6: Prehľad prijímacieho konania podľa hlavných skupín študijných odborov (I. stupeň) 2011</t>
  </si>
  <si>
    <t>prijatí / prihlásení</t>
  </si>
  <si>
    <t>Zápisy</t>
  </si>
  <si>
    <t>Zapísaní / prijatí</t>
  </si>
  <si>
    <t>Zapísaní / prihlásení</t>
  </si>
  <si>
    <t>Zdroj: ÚIPŠ</t>
  </si>
  <si>
    <t>DTI Dubnica nad Váhom</t>
  </si>
  <si>
    <t>Tabuľka č. 10: Počty a priemerné platy zamestnancov verejných vysokých škôl za rok 2011 (všetky zdroje financovania)</t>
  </si>
  <si>
    <t>Lôžková kapacita študentských domovov k 31.12.2011</t>
  </si>
  <si>
    <t>Počet miest na ubytovanie študentov k 31.12.2011 spolu</t>
  </si>
  <si>
    <t>Počet nevybavených žiadostí o ubytovanie v roku 2011</t>
  </si>
  <si>
    <t>z toho
denne</t>
  </si>
  <si>
    <t>Denná a Externá</t>
  </si>
  <si>
    <t>Výsoká škola</t>
  </si>
  <si>
    <t>Celkový počet podporených projektov</t>
  </si>
  <si>
    <t>Podiel vysokej školy na celkovom počte podporovaných projektov (v %)</t>
  </si>
  <si>
    <t xml:space="preserve">Celkový objem finančnej podpory na projekty (v €) - Bežné výdavky </t>
  </si>
  <si>
    <t>Celkový objem finančnej podpory na projekty (v €) - Kapitálové výdavky</t>
  </si>
  <si>
    <t xml:space="preserve">Spolu - Celkový objem finančnej podpory na projekty (v €) </t>
  </si>
  <si>
    <t xml:space="preserve">Podiel vysokej školy na celkovom objeme pridelených finančných protriedkov (v %) </t>
  </si>
  <si>
    <t>SPOLU</t>
  </si>
  <si>
    <t>Spolu - Objem finančných prostriedkov pridelený pre sektor (v €) - Bežné výdavky</t>
  </si>
  <si>
    <t>Spolu - Objem finančných prostriedkov pridelený pre sektor (v €) - Kapitálové výdavky</t>
  </si>
  <si>
    <t xml:space="preserve">Spolu - Objem finančných prostriedkov pridelený pre sektor (v €) </t>
  </si>
  <si>
    <t xml:space="preserve">Podiel sektora na celkovom objeme pridelených finančných protriedkov (v %) </t>
  </si>
  <si>
    <t>Sektor verejných vysokých škôl</t>
  </si>
  <si>
    <t>Neziskové organizácie</t>
  </si>
  <si>
    <t>Tabuľka č. 12a: Počty výskumných projektov verejných vysokých škôl a objem finančných prostriedkov poskytnutých na ich riešenie vnútorným grantovým systémom VEGA v roku 2011 podľa vysokých škôl</t>
  </si>
  <si>
    <t>Tabuľka č. 14a: Počty výskumných projektov verejných vysokých škôl a objem finančných prostriedkov poskytnutých na ich riešenie agentúrou APVV v roku 2011 podľa verejných  vysokých škôl</t>
  </si>
  <si>
    <t>Tabuľka č. 14b: Podiel verejných vysokých škôl na získavaní finančných prostriedkov z APVV v porovnaní s ostatnými sektormi výskumu a vývoja v roku 2011</t>
  </si>
  <si>
    <t>Počet poberateľov sociálnych štipendií k 31.12.2011</t>
  </si>
  <si>
    <t>Počet zmluvných miest na ubytovanie študentov k 31.12.2010</t>
  </si>
  <si>
    <t>Počet miest na ubytovanie študentov k 31.12.2010 spolu</t>
  </si>
  <si>
    <t>Rok 2011</t>
  </si>
  <si>
    <t>Rozdiel 2011 a 2010</t>
  </si>
  <si>
    <t>Celkový výsledok hospodárenia
v roku 2011</t>
  </si>
  <si>
    <t>Náklady 
spolu</t>
  </si>
  <si>
    <t>Výsledok hospodárenia k 31.12.2011</t>
  </si>
  <si>
    <t>UK</t>
  </si>
  <si>
    <t>UPJŠ</t>
  </si>
  <si>
    <t>PU</t>
  </si>
  <si>
    <t>UCM</t>
  </si>
  <si>
    <t>UKF</t>
  </si>
  <si>
    <t>UMB</t>
  </si>
  <si>
    <t>TVU</t>
  </si>
  <si>
    <t>STU</t>
  </si>
  <si>
    <t>TUKE</t>
  </si>
  <si>
    <t>ŽU</t>
  </si>
  <si>
    <t>TUAD</t>
  </si>
  <si>
    <t>EU</t>
  </si>
  <si>
    <t>SPU</t>
  </si>
  <si>
    <t>TUZVO</t>
  </si>
  <si>
    <t>VŠMU</t>
  </si>
  <si>
    <t>VŠVU</t>
  </si>
  <si>
    <t>AU</t>
  </si>
  <si>
    <t>KU</t>
  </si>
  <si>
    <t>UJS</t>
  </si>
  <si>
    <t>501 Spotreba materiálu</t>
  </si>
  <si>
    <t>502 Spotreba energie</t>
  </si>
  <si>
    <t>512 Cestovné</t>
  </si>
  <si>
    <t>521 Mzdové náklady</t>
  </si>
  <si>
    <t>524 Zákonné sociálne poistenie a zdravotné poistenie</t>
  </si>
  <si>
    <t>525 Ostatné sociálne poistenie</t>
  </si>
  <si>
    <t>527 Zákonné sociálne náklady</t>
  </si>
  <si>
    <t>528 Ostatné sociálne náklady</t>
  </si>
  <si>
    <t>531 Daň z motorových vozidiel</t>
  </si>
  <si>
    <t>532 Daň z nehnutežností</t>
  </si>
  <si>
    <t>538 Ostatné dane a poplatky</t>
  </si>
  <si>
    <t>541 Zmluvné pokuty a penále</t>
  </si>
  <si>
    <t>542 Zost. cena predaného DNM a DHM</t>
  </si>
  <si>
    <t>543 Odpísanie pohžadávky</t>
  </si>
  <si>
    <t>544 Úroky</t>
  </si>
  <si>
    <t>545 Kurzové straty</t>
  </si>
  <si>
    <t>546 Dary</t>
  </si>
  <si>
    <t>547 Osobitné náklady</t>
  </si>
  <si>
    <t>548 Manká a škody</t>
  </si>
  <si>
    <t>549 Iné ostatné náklady</t>
  </si>
  <si>
    <t>551 Odpisy dlhodobého nehmotného a hmotného majetku</t>
  </si>
  <si>
    <t>553 Predané cenné papiere</t>
  </si>
  <si>
    <t>554 Predaný materiál</t>
  </si>
  <si>
    <t>555 Náklady na krátkodobý finančný majetok</t>
  </si>
  <si>
    <t>556 Tvorba fondov</t>
  </si>
  <si>
    <t>557 Náklady na precenenie cenných papierov</t>
  </si>
  <si>
    <t>558 Tvorba a zúčtovanie opravných položiek</t>
  </si>
  <si>
    <t>559 Tvorba a zúčtovanie zákonných opravných položiek</t>
  </si>
  <si>
    <t>561 Poskytnuté príspevky organizačným zložkám</t>
  </si>
  <si>
    <t>562 Poskytnuté príspevky iným účtovným jednotkám</t>
  </si>
  <si>
    <t>563 Poskytnuté príspevky fyzickým osobám</t>
  </si>
  <si>
    <t>567 Poskytnuté príspevky z verejnej zbierky</t>
  </si>
  <si>
    <t>652-Výnosy z dlhodobého finančného majetku</t>
  </si>
  <si>
    <t>658 -Vvýnosy z prenájmu majetku</t>
  </si>
  <si>
    <t>Stav k 31. 12. 2011  (v Eur )</t>
  </si>
  <si>
    <t>Tabuľka č. 26: Štruktúra účtu 384 - výnosy budúcich období v rokoch  2010 a 2011</t>
  </si>
  <si>
    <t>Tabuľka č. 16: Ubytovacie kapacity verejných vysokých škôl v rokoch 2010 a 2011</t>
  </si>
  <si>
    <t>Počet zmluvných miest na ubytovanie študentov k 31.12.2011</t>
  </si>
  <si>
    <t>Tabuľka č. 24: Výnosy verejných vysokých škôl v roku 2011 v oblasti sociálnej podpory študentov (v Eur)</t>
  </si>
  <si>
    <t>Výročná správa o stave vysokého školstva za rok 2011</t>
  </si>
  <si>
    <t>študijné programy so spojeným prvým a druhým stupňom</t>
  </si>
  <si>
    <t>Zdroj: MŠVVaŠ SR</t>
  </si>
  <si>
    <t>Študenti podľa skupín študijných odborov (2011/2012)</t>
  </si>
  <si>
    <t>Absolventi podľa skupín študijných odborov (2011)</t>
  </si>
  <si>
    <t>Počet absolventov podľa vysokej školy, stupňa a formy štúdia (2011)</t>
  </si>
  <si>
    <t>Prehľad prijímacieho konania podľa skupín študijných odborov (I. stupeň) 2011</t>
  </si>
  <si>
    <t>Veková štruktúra uchádzačov, prijatých a zapísaných na študijné programy prvého stupňa a spojeného prvého a druhého stupňa vysokoškolského vzdelávania na akademický rok 2011/2012</t>
  </si>
  <si>
    <t>Prijímacie konanie absolventov - bakalárov na 2. stupeň v akademickom roku 2011/2012</t>
  </si>
  <si>
    <t>Vymenovaní profesori v roku 2011</t>
  </si>
  <si>
    <t>Počty výskumných projektov verejných vysokých škôl podporovaných vnútorným grantovým systémom VEGA a objemy finančných poskytnutých na ich riešenie vnútorným grantovým systémom VEGA v roku 2011 podľa komisií VEGA</t>
  </si>
  <si>
    <t>Počty výskumných projektov verejných vysokých škôl a objem finančných prostriedkov poskytnutých na ich riešenie vnútorným grantovým systémom KEGA v roku 2011 podľa vysokých škôl</t>
  </si>
  <si>
    <t>Podiel verejných vysokých škôl na získavaní finančných prostriedkov z APVV v porovnaní s ostatnými sektormi výskumu a vývoja v roku 2011</t>
  </si>
  <si>
    <t>Počty výskumných projektov verejných vysokých škôl a objem finančných prostriedkov poskytnutých na ich riešenie agentúrou APVV v roku 2011 podľa verejných  vysokých škôl</t>
  </si>
  <si>
    <t>Tabuľka č. 15:</t>
  </si>
  <si>
    <t>Tabuľka č. 17a:</t>
  </si>
  <si>
    <t>Tabuľka č. 19:</t>
  </si>
  <si>
    <t xml:space="preserve">Súhrnná súvaha za verejné vysoké školy k 31.12.2011 - časť aktíva  (v Eur)
</t>
  </si>
  <si>
    <t>Tabuľka č. 17b:</t>
  </si>
  <si>
    <t xml:space="preserve">Súhrnná súvaha za verejné vysoké školy k 31.12.2011 - časť pasíva  (v Eur)
</t>
  </si>
  <si>
    <t xml:space="preserve">Výnosy verejných vysokých škôl v roku 2011 (v Eur)
</t>
  </si>
  <si>
    <t>Výsledky hospodárenia verejných vysokých škôl v roku 2011 (v Eur)</t>
  </si>
  <si>
    <t>Štruktúra účtu 384 - výnosy budúcich období v rokoch  2010 a 2011</t>
  </si>
  <si>
    <t>Výsledky hospodárenia verejných vysokých škôl v roku 2011  v oblasti sociálnej podpory študentov (v Eur)</t>
  </si>
  <si>
    <t>Náklady verejných vysokých škôl v roku 2011 v oblasti sociálnej podpory študentov (v Eur)</t>
  </si>
  <si>
    <t xml:space="preserve">Výnosy verejných vysokých škôl v roku 2011 v oblasti sociálnej podpory študentov (v Eur)     
</t>
  </si>
  <si>
    <t>Počty poberateľov sociálnych štipendií a objemy finančných prostriedkov v rokoch 2010 a 2011</t>
  </si>
  <si>
    <t>Ubytovacie kapacity verejných vysokých škôl v rokoch 2010 a 2011</t>
  </si>
  <si>
    <t xml:space="preserve">Výnosy verejných vysokých škôl v rokoch 2010 a 2011 (v Eur)
</t>
  </si>
  <si>
    <t>Náklady verejných vysokých škôl v roku 2011 (v Eur)</t>
  </si>
  <si>
    <t>Náklady verejných vysokých škôl v rokoch 2010 a  2011 (v Eur)</t>
  </si>
  <si>
    <t>Priemerný vek v čase vymenovania</t>
  </si>
  <si>
    <t>Tabuľka č. 11: Vymenovaní profesori v roku 2011</t>
  </si>
  <si>
    <r>
      <t xml:space="preserve">Objem finančných prostriedkov vyplatených študentom na sociálne štipendiá  v roku 2010  </t>
    </r>
    <r>
      <rPr>
        <sz val="11"/>
        <rFont val="Calibri"/>
        <family val="2"/>
        <charset val="238"/>
      </rPr>
      <t>(v Eur)</t>
    </r>
  </si>
  <si>
    <r>
      <t xml:space="preserve">Objem finančných prostriedkov vyplatených študentom na sociálne štipendiá  v roku 2011  </t>
    </r>
    <r>
      <rPr>
        <sz val="11"/>
        <rFont val="Calibri"/>
        <family val="2"/>
        <charset val="238"/>
      </rPr>
      <t>(v Eur)</t>
    </r>
  </si>
  <si>
    <t>Tabuľka č. 15: Počty poberateľov sociálnych štipendií a objemy finančných prostriedkov  v rokoch 2010  a 2011</t>
  </si>
  <si>
    <t xml:space="preserve">samostatné hnutežné veci a súbory hnuteľných vecí </t>
  </si>
  <si>
    <r>
      <t xml:space="preserve">Zvyšok prijatej kapitálovej dotácie </t>
    </r>
    <r>
      <rPr>
        <b/>
        <sz val="11"/>
        <color indexed="10"/>
        <rFont val="Calibri"/>
        <family val="2"/>
        <charset val="238"/>
      </rPr>
      <t>z prostriedkov EÚ (štrukturálnych fondov)</t>
    </r>
    <r>
      <rPr>
        <b/>
        <sz val="11"/>
        <rFont val="Calibri"/>
        <family val="2"/>
        <charset val="238"/>
      </rPr>
      <t xml:space="preserve"> používanej na kompenzáciu odpisov majetku z nej obstaraného</t>
    </r>
  </si>
  <si>
    <t>tabuľková príloha</t>
  </si>
  <si>
    <t xml:space="preserve">imanie </t>
  </si>
  <si>
    <t>fondy</t>
  </si>
  <si>
    <t>Výsledok hospodárenia v roku 2011 spolu</t>
  </si>
  <si>
    <t>Podiel vysokých škôl na počte študentov (2011/2012)</t>
  </si>
  <si>
    <t>Maturanti v prijímacom konaní na študijné programy prvého stupňa a spojeného prvého a druhého stupňa vysokoškolského vzdelávania na akademický rok 2011/2012</t>
  </si>
  <si>
    <t>Tabuľka č. 9: Prijímacie konanie absolventov - bakalárov na 2. stupeň 
v akademickom roku 2011/2012</t>
  </si>
  <si>
    <t>Počty a priemerné platy zamestnancov verejných vysokých škôl za rok 2011 (všetky zdroje financovania)</t>
  </si>
  <si>
    <t>Tabuľka č. 12b: Počty výskumných projektov verejných vysokých škôl podporovaných vnútorným grantovým systémom VEGA a objemy finančných prostriedkov poskytnutých na ich riešenie vnútorným grantovým systémom VEGA v roku 2011 podľa komisií VEGA</t>
  </si>
  <si>
    <t>Tabuľka č. 23: Náklady verejných vysokých škôl v roku 2011 v oblasti sociálnej podpory študentov (v Eur)</t>
  </si>
  <si>
    <t>Tabuľka č. 7: Veková štruktúra uchádzačov, prijatých a zapísaných na študijné programy prvého stupňa a spojeného prvého a druhého stupňa vysokoškolského vzdelávania v akademickom roku 2011/2012</t>
  </si>
  <si>
    <t>Tabuľka č. 8:   Maturanti v prijímacom konaní na študijné programy prvého stupňa
a spojeného prvého a druhého stupňa vysokoškolského vzdelávania v akademickom roku 2011/2012</t>
  </si>
  <si>
    <t xml:space="preserve">Počty výskumných projektov verejných vysokých škôl a objem finančných prostriedkov poskytnutých na ich riešenie vnútorným grantovým systémom VEGA v roku 2011 podľa vysokých škôl
</t>
  </si>
  <si>
    <t>VŠMP ISM Prešov</t>
  </si>
  <si>
    <t>VŠMP ISM  Prešov</t>
  </si>
  <si>
    <t>UVLF</t>
  </si>
  <si>
    <t>552 Zostatková cena predaného dlhodobého nehmotného a hmotného majetku</t>
  </si>
  <si>
    <t>Tabuľka č. 13: Počty výskumných projektov verejných vysokých škôl a objem finančných prostriedkov poskytnutých na ich riešenie vnútorným grantovým systémom KEGA v roku 2011 podľa vysokých škôl</t>
  </si>
  <si>
    <r>
      <t xml:space="preserve">Tabuľka č. 17a: Súhrnná súvaha za verejné vysoké školy k 31.12.2011 
- časť aktíva  </t>
    </r>
    <r>
      <rPr>
        <b/>
        <sz val="14"/>
        <rFont val="Calibri"/>
        <family val="2"/>
        <charset val="238"/>
      </rPr>
      <t>(v Eur)</t>
    </r>
  </si>
  <si>
    <r>
      <t xml:space="preserve">Tabuľka č. 17b: Súhrnná súvaha za verejné vysoké školy k 31.12.2011 
- časť pasíva  </t>
    </r>
    <r>
      <rPr>
        <b/>
        <sz val="14"/>
        <rFont val="Calibri"/>
        <family val="2"/>
        <charset val="238"/>
      </rPr>
      <t>(v Eur)</t>
    </r>
  </si>
  <si>
    <r>
      <t xml:space="preserve">Tabuľka č. 18: Výnosy verejných vysokých škôl v roku 2011
</t>
    </r>
    <r>
      <rPr>
        <b/>
        <sz val="14"/>
        <rFont val="Calibri"/>
        <family val="2"/>
        <charset val="238"/>
      </rPr>
      <t>(v Eur)</t>
    </r>
  </si>
  <si>
    <r>
      <t xml:space="preserve">Tabuľka č. 19: Výnosy verejných vysokých škôl v rokoch 2010 a 2011
</t>
    </r>
    <r>
      <rPr>
        <b/>
        <sz val="14"/>
        <rFont val="Calibri"/>
        <family val="2"/>
        <charset val="238"/>
      </rPr>
      <t>(v Eur)</t>
    </r>
  </si>
  <si>
    <r>
      <t xml:space="preserve">Tabuľka č. 20: Náklady verejných vysokých škôl v roku 2011
</t>
    </r>
    <r>
      <rPr>
        <b/>
        <sz val="14"/>
        <rFont val="Calibri"/>
        <family val="2"/>
        <charset val="238"/>
      </rPr>
      <t>(v Eur)</t>
    </r>
  </si>
  <si>
    <r>
      <t xml:space="preserve">Tabuľka č. 21: Náklady verejných vysokých škôl v rokoch 2010 a  2011 
</t>
    </r>
    <r>
      <rPr>
        <b/>
        <sz val="14"/>
        <rFont val="Calibri"/>
        <family val="2"/>
        <charset val="238"/>
      </rPr>
      <t>(v Eur)</t>
    </r>
  </si>
  <si>
    <r>
      <t xml:space="preserve">Tabuľka č. 22: Výsledky hospodárenia verejných vysokých škôl v roku 2011 
</t>
    </r>
    <r>
      <rPr>
        <b/>
        <sz val="14"/>
        <rFont val="Calibri"/>
        <family val="2"/>
        <charset val="238"/>
      </rPr>
      <t>(v Eur)</t>
    </r>
  </si>
  <si>
    <r>
      <t xml:space="preserve">Tabuľka č. 25: Výsledky hospodárenia verejných vysokých škôl v roku 2011 v oblasti sociálnej podpory študentov 
</t>
    </r>
    <r>
      <rPr>
        <b/>
        <sz val="14"/>
        <rFont val="Calibri"/>
        <family val="2"/>
        <charset val="238"/>
      </rPr>
      <t>(v Eur)</t>
    </r>
  </si>
  <si>
    <t>Ekonomická univerzita v Bratislave</t>
  </si>
  <si>
    <t>Slovenská poľnohospodárska univerzita v Nitre</t>
  </si>
  <si>
    <t>Slovenská technická univerzita v Bratislave</t>
  </si>
  <si>
    <t>Technická univerzita v Košiciach</t>
  </si>
  <si>
    <t>Technická univerzita vo Zvolene</t>
  </si>
  <si>
    <t>Trenčianska univerzita Alexandra Dubčeka v Trenčíne</t>
  </si>
  <si>
    <t>Trnavská univerzita v Trnave</t>
  </si>
  <si>
    <t>Univerzita J. Selyeho</t>
  </si>
  <si>
    <t>Univerzita Komenského v Bratislave</t>
  </si>
  <si>
    <t>Univerzita Konštantína Filozofa v Nitre</t>
  </si>
  <si>
    <t>Univerzita Mateja Bela v Banskej Bystrici</t>
  </si>
  <si>
    <t>Univerzita Pavla Jozefa Šafárika v Košiciach</t>
  </si>
  <si>
    <t>Univerzita sv. Cyrila a Metoda v Trnave</t>
  </si>
  <si>
    <t>Univerzita veterinárskeho lekárstva a farmácie v Košiciach</t>
  </si>
  <si>
    <t>Vysoká škola múzických umení v Bratislave</t>
  </si>
  <si>
    <t>Vysoká škola výtvarných umení v Bratislave</t>
  </si>
  <si>
    <t>Žilinská univerzita v Žiline</t>
  </si>
  <si>
    <t>Akadémia médií, odborná vysoká škola mediálnej a marketingovej komunikácie v Bratislave</t>
  </si>
  <si>
    <t xml:space="preserve">Bratislavská medzinárodná škola liberálnych štúdií </t>
  </si>
  <si>
    <t xml:space="preserve">Dubnický technologický inštitút v Dubnici nad Váhom </t>
  </si>
  <si>
    <t>Hudobná a umelecká akadémia Jána Albrechta – Banská Štiavnica, s. r. o., odborná vysoká škola</t>
  </si>
  <si>
    <t>Paneurópska vysoká škola</t>
  </si>
  <si>
    <t xml:space="preserve">Stredoeurópska vysoká škola v Skalici </t>
  </si>
  <si>
    <t xml:space="preserve">Vysoká škola bezpečnostného manažérstva v Košiciach </t>
  </si>
  <si>
    <t xml:space="preserve">Vysoká škola ekonómie a manažmentu verejnej správy v Bratislave </t>
  </si>
  <si>
    <t xml:space="preserve">Vysoká škola manažmentu v Trenčíne </t>
  </si>
  <si>
    <t xml:space="preserve">Vysoká škola medzinárodného podnikania ISM Slovakia v Prešove </t>
  </si>
  <si>
    <t xml:space="preserve">Vysoká škola v Sládkovičove </t>
  </si>
  <si>
    <t>Vysoká škola zdravotníctva a sociálnej práce sv. Alžbety v Bratislave, n. o.</t>
  </si>
  <si>
    <t>HUAJA Banská Štiavnica</t>
  </si>
  <si>
    <t>Úplný názov vysokej školy</t>
  </si>
  <si>
    <t>Skratka</t>
  </si>
  <si>
    <t>Súkromné vysoké školy</t>
  </si>
  <si>
    <t>Zoznam vysokých škôl, ktoré sú uvádzané vo výročnej správe o stave vysokého školstva za rok 2011</t>
  </si>
  <si>
    <t>Akadémia umení v Banskej Bystrici</t>
  </si>
  <si>
    <t>Katolícka univerzita v Ružmberku</t>
  </si>
  <si>
    <t>Prešovská univerzita v Prešove</t>
  </si>
  <si>
    <t>Verejné vysoké školy</t>
  </si>
  <si>
    <t>Zoznam tabuliek</t>
  </si>
  <si>
    <t>SPOLOČENSKÉ VEDY, NÁUKY A SLUŽBY</t>
  </si>
  <si>
    <t>TECHNICKÉ VEDY A NÁUKY</t>
  </si>
  <si>
    <t>VOJENSKÉ A BEZPEČNOSTNÉ VEDY A NÁUKY</t>
  </si>
  <si>
    <t>ZDRAVOTNÍCTVO</t>
  </si>
  <si>
    <t>VŠZSP Bratislava</t>
  </si>
  <si>
    <t>UVL Košice</t>
  </si>
  <si>
    <t>Komisia VEGA č. 3 pre chemické vedy, chemické inžinierstvo a biotechnológie</t>
  </si>
  <si>
    <t>Komisia VEGA č. 4 pre biologické vedy</t>
  </si>
  <si>
    <t>Komisia VEGA č. 6 pre stavebné inžinierstvo (stavebníctvo, dopravu a geodéziu) a environmentálne inžinierstvo vrátane  baníctva, hutníctva a vodohospodárskych vied</t>
  </si>
  <si>
    <t>Komisia VEGA č. 7 pre strojárstvo a príbuzné odbory informačných a komunikačných technológií a materiálové inžinierstvo</t>
  </si>
  <si>
    <t>Štátny sektor</t>
  </si>
  <si>
    <t>Podnikateľský sektor</t>
  </si>
  <si>
    <t>vlastné zdrojekrytia majetku Celkom</t>
  </si>
  <si>
    <t>cudzie zdroje</t>
  </si>
  <si>
    <t>fondy tvorené zo zisku Celkom</t>
  </si>
  <si>
    <t>604 - Tržby za predaný tovar</t>
  </si>
  <si>
    <t>613 - Zmena stavu zásob výrobkov</t>
  </si>
  <si>
    <t>504 - Predaný tovar</t>
  </si>
  <si>
    <t>513 - Náklady na reprezentáciu</t>
  </si>
  <si>
    <t>504 Predaný tovar</t>
  </si>
  <si>
    <t>511 Opravy a udržiavanie</t>
  </si>
  <si>
    <t>513 Náklady na reprezentáciu</t>
  </si>
  <si>
    <t>518 Ostatné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</si>
</sst>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€_-;\-* #,##0.00\ _€_-;_-* &quot;-&quot;??\ _€_-;_-@_-"/>
    <numFmt numFmtId="164" formatCode="_-* #,##0.00\ _S_k_-;\-* #,##0.00\ _S_k_-;_-* &quot;-&quot;??\ _S_k_-;_-@_-"/>
    <numFmt numFmtId="165" formatCode="0.0%"/>
    <numFmt numFmtId="166" formatCode="_-* #,##0.0\ _€_-;\-* #,##0.0\ _€_-;_-* &quot;-&quot;??\ _€_-;_-@_-"/>
    <numFmt numFmtId="167" formatCode="0.0000"/>
    <numFmt numFmtId="168" formatCode="#,##0.0"/>
    <numFmt numFmtId="169" formatCode="#,##0_ ;[Red]\-#,##0\ "/>
    <numFmt numFmtId="170" formatCode="_-* #,##0\ _S_k_-;\-* #,##0\ _S_k_-;_-* &quot;-&quot;??\ _S_k_-;_-@_-"/>
    <numFmt numFmtId="171" formatCode="yyyy"/>
    <numFmt numFmtId="172" formatCode="0.0"/>
    <numFmt numFmtId="173" formatCode="_-* #,##0\ _€_-;\-* #,##0\ _€_-;_-* &quot;-&quot;??\ _€_-;_-@_-"/>
    <numFmt numFmtId="174" formatCode="0.0000%"/>
  </numFmts>
  <fonts count="79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6"/>
      <color indexed="8"/>
      <name val="Cambria"/>
      <family val="1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0"/>
      <name val="Times New Roman CE"/>
      <family val="1"/>
      <charset val="238"/>
    </font>
    <font>
      <i/>
      <sz val="11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b/>
      <sz val="16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sz val="8"/>
      <name val="Calibri"/>
      <family val="2"/>
      <charset val="238"/>
    </font>
    <font>
      <i/>
      <sz val="10"/>
      <name val="Arial"/>
      <family val="2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</font>
    <font>
      <b/>
      <i/>
      <sz val="12"/>
      <name val="Times New Roman"/>
      <family val="1"/>
    </font>
    <font>
      <sz val="10"/>
      <name val="Arial CE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  <charset val="238"/>
    </font>
    <font>
      <b/>
      <sz val="14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3"/>
      <name val="Calibri"/>
      <family val="2"/>
      <charset val="238"/>
    </font>
    <font>
      <sz val="12"/>
      <color theme="1"/>
      <name val="Times New Roman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9"/>
        <bgColor indexed="64"/>
      </patternFill>
    </fill>
  </fills>
  <borders count="1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5"/>
      </left>
      <right/>
      <top/>
      <bottom/>
      <diagonal/>
    </border>
    <border>
      <left/>
      <right/>
      <top style="thin">
        <color indexed="65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5"/>
      </top>
      <bottom/>
      <diagonal/>
    </border>
    <border>
      <left style="medium">
        <color indexed="64"/>
      </left>
      <right style="medium">
        <color indexed="64"/>
      </right>
      <top style="thin">
        <color indexed="65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5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6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5"/>
      </left>
      <right style="medium">
        <color indexed="64"/>
      </right>
      <top style="thin">
        <color indexed="8"/>
      </top>
      <bottom/>
      <diagonal/>
    </border>
    <border>
      <left style="thin">
        <color indexed="65"/>
      </left>
      <right style="medium">
        <color indexed="64"/>
      </right>
      <top/>
      <bottom/>
      <diagonal/>
    </border>
    <border>
      <left style="thin">
        <color indexed="65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</borders>
  <cellStyleXfs count="10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1" applyNumberFormat="0" applyAlignment="0" applyProtection="0"/>
    <xf numFmtId="43" fontId="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4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0" applyNumberFormat="0" applyFill="0" applyBorder="0" applyAlignment="0" applyProtection="0"/>
    <xf numFmtId="0" fontId="25" fillId="21" borderId="5" applyNumberFormat="0" applyAlignment="0" applyProtection="0"/>
    <xf numFmtId="0" fontId="26" fillId="7" borderId="1" applyNumberFormat="0" applyAlignment="0" applyProtection="0"/>
    <xf numFmtId="0" fontId="27" fillId="0" borderId="6" applyNumberFormat="0" applyFill="0" applyAlignment="0" applyProtection="0"/>
    <xf numFmtId="0" fontId="28" fillId="22" borderId="0" applyNumberFormat="0" applyBorder="0" applyAlignment="0" applyProtection="0"/>
    <xf numFmtId="0" fontId="6" fillId="0" borderId="0"/>
    <xf numFmtId="0" fontId="66" fillId="0" borderId="0"/>
    <xf numFmtId="0" fontId="14" fillId="0" borderId="0"/>
    <xf numFmtId="0" fontId="15" fillId="0" borderId="0"/>
    <xf numFmtId="0" fontId="15" fillId="0" borderId="0"/>
    <xf numFmtId="0" fontId="42" fillId="0" borderId="0"/>
    <xf numFmtId="0" fontId="15" fillId="0" borderId="0"/>
    <xf numFmtId="0" fontId="66" fillId="0" borderId="0"/>
    <xf numFmtId="0" fontId="29" fillId="0" borderId="0"/>
    <xf numFmtId="0" fontId="29" fillId="0" borderId="0"/>
    <xf numFmtId="0" fontId="29" fillId="0" borderId="0"/>
    <xf numFmtId="0" fontId="53" fillId="0" borderId="0"/>
    <xf numFmtId="0" fontId="15" fillId="0" borderId="0"/>
    <xf numFmtId="0" fontId="53" fillId="0" borderId="0"/>
    <xf numFmtId="0" fontId="62" fillId="0" borderId="0"/>
    <xf numFmtId="0" fontId="29" fillId="0" borderId="0"/>
    <xf numFmtId="0" fontId="29" fillId="0" borderId="0"/>
    <xf numFmtId="0" fontId="29" fillId="0" borderId="0"/>
    <xf numFmtId="0" fontId="14" fillId="23" borderId="7" applyNumberFormat="0" applyFont="0" applyAlignment="0" applyProtection="0"/>
    <xf numFmtId="0" fontId="30" fillId="20" borderId="8" applyNumberFormat="0" applyAlignment="0" applyProtection="0"/>
    <xf numFmtId="9" fontId="6" fillId="0" borderId="0" applyFont="0" applyFill="0" applyBorder="0" applyAlignment="0" applyProtection="0"/>
    <xf numFmtId="9" fontId="42" fillId="0" borderId="0" applyFont="0" applyFill="0" applyBorder="0" applyAlignment="0" applyProtection="0"/>
    <xf numFmtId="4" fontId="31" fillId="22" borderId="9" applyNumberFormat="0" applyProtection="0">
      <alignment vertical="center"/>
    </xf>
    <xf numFmtId="4" fontId="32" fillId="24" borderId="9" applyNumberFormat="0" applyProtection="0">
      <alignment vertical="center"/>
    </xf>
    <xf numFmtId="4" fontId="31" fillId="24" borderId="9" applyNumberFormat="0" applyProtection="0">
      <alignment horizontal="left" vertical="center" indent="1"/>
    </xf>
    <xf numFmtId="0" fontId="31" fillId="24" borderId="9" applyNumberFormat="0" applyProtection="0">
      <alignment horizontal="left" vertical="top" indent="1"/>
    </xf>
    <xf numFmtId="4" fontId="33" fillId="3" borderId="9" applyNumberFormat="0" applyProtection="0">
      <alignment horizontal="right" vertical="center"/>
    </xf>
    <xf numFmtId="4" fontId="33" fillId="9" borderId="9" applyNumberFormat="0" applyProtection="0">
      <alignment horizontal="right" vertical="center"/>
    </xf>
    <xf numFmtId="4" fontId="33" fillId="17" borderId="9" applyNumberFormat="0" applyProtection="0">
      <alignment horizontal="right" vertical="center"/>
    </xf>
    <xf numFmtId="4" fontId="33" fillId="11" borderId="9" applyNumberFormat="0" applyProtection="0">
      <alignment horizontal="right" vertical="center"/>
    </xf>
    <xf numFmtId="4" fontId="33" fillId="15" borderId="9" applyNumberFormat="0" applyProtection="0">
      <alignment horizontal="right" vertical="center"/>
    </xf>
    <xf numFmtId="4" fontId="33" fillId="19" borderId="9" applyNumberFormat="0" applyProtection="0">
      <alignment horizontal="right" vertical="center"/>
    </xf>
    <xf numFmtId="4" fontId="33" fillId="18" borderId="9" applyNumberFormat="0" applyProtection="0">
      <alignment horizontal="right" vertical="center"/>
    </xf>
    <xf numFmtId="4" fontId="33" fillId="25" borderId="9" applyNumberFormat="0" applyProtection="0">
      <alignment horizontal="right" vertical="center"/>
    </xf>
    <xf numFmtId="4" fontId="33" fillId="10" borderId="9" applyNumberFormat="0" applyProtection="0">
      <alignment horizontal="right" vertical="center"/>
    </xf>
    <xf numFmtId="4" fontId="31" fillId="26" borderId="10" applyNumberFormat="0" applyProtection="0">
      <alignment horizontal="left" vertical="center" indent="1"/>
    </xf>
    <xf numFmtId="4" fontId="33" fillId="27" borderId="0" applyNumberFormat="0" applyProtection="0">
      <alignment horizontal="left" vertical="center" indent="1"/>
    </xf>
    <xf numFmtId="4" fontId="34" fillId="28" borderId="0" applyNumberFormat="0" applyProtection="0">
      <alignment horizontal="left" vertical="center" indent="1"/>
    </xf>
    <xf numFmtId="4" fontId="33" fillId="29" borderId="9" applyNumberFormat="0" applyProtection="0">
      <alignment horizontal="right" vertical="center"/>
    </xf>
    <xf numFmtId="4" fontId="35" fillId="27" borderId="0" applyNumberFormat="0" applyProtection="0">
      <alignment horizontal="left" vertical="center" indent="1"/>
    </xf>
    <xf numFmtId="4" fontId="35" fillId="30" borderId="0" applyNumberFormat="0" applyProtection="0">
      <alignment horizontal="left" vertical="center" indent="1"/>
    </xf>
    <xf numFmtId="0" fontId="15" fillId="28" borderId="9" applyNumberFormat="0" applyProtection="0">
      <alignment horizontal="left" vertical="center" indent="1"/>
    </xf>
    <xf numFmtId="0" fontId="15" fillId="28" borderId="9" applyNumberFormat="0" applyProtection="0">
      <alignment horizontal="left" vertical="top" indent="1"/>
    </xf>
    <xf numFmtId="0" fontId="15" fillId="30" borderId="9" applyNumberFormat="0" applyProtection="0">
      <alignment horizontal="left" vertical="center" indent="1"/>
    </xf>
    <xf numFmtId="0" fontId="15" fillId="30" borderId="9" applyNumberFormat="0" applyProtection="0">
      <alignment horizontal="left" vertical="top" indent="1"/>
    </xf>
    <xf numFmtId="0" fontId="15" fillId="31" borderId="9" applyNumberFormat="0" applyProtection="0">
      <alignment horizontal="left" vertical="center" indent="1"/>
    </xf>
    <xf numFmtId="0" fontId="15" fillId="31" borderId="9" applyNumberFormat="0" applyProtection="0">
      <alignment horizontal="left" vertical="top" indent="1"/>
    </xf>
    <xf numFmtId="0" fontId="15" fillId="32" borderId="9" applyNumberFormat="0" applyProtection="0">
      <alignment horizontal="left" vertical="center" indent="1"/>
    </xf>
    <xf numFmtId="0" fontId="15" fillId="32" borderId="9" applyNumberFormat="0" applyProtection="0">
      <alignment horizontal="left" vertical="top" indent="1"/>
    </xf>
    <xf numFmtId="4" fontId="31" fillId="30" borderId="0" applyNumberFormat="0" applyProtection="0">
      <alignment horizontal="left" vertical="center" indent="1"/>
    </xf>
    <xf numFmtId="4" fontId="33" fillId="33" borderId="9" applyNumberFormat="0" applyProtection="0">
      <alignment vertical="center"/>
    </xf>
    <xf numFmtId="4" fontId="36" fillId="33" borderId="9" applyNumberFormat="0" applyProtection="0">
      <alignment vertical="center"/>
    </xf>
    <xf numFmtId="4" fontId="33" fillId="33" borderId="9" applyNumberFormat="0" applyProtection="0">
      <alignment horizontal="left" vertical="center" indent="1"/>
    </xf>
    <xf numFmtId="0" fontId="33" fillId="33" borderId="9" applyNumberFormat="0" applyProtection="0">
      <alignment horizontal="left" vertical="top" indent="1"/>
    </xf>
    <xf numFmtId="4" fontId="33" fillId="27" borderId="9" applyNumberFormat="0" applyProtection="0">
      <alignment horizontal="right" vertical="center"/>
    </xf>
    <xf numFmtId="4" fontId="36" fillId="27" borderId="9" applyNumberFormat="0" applyProtection="0">
      <alignment horizontal="right" vertical="center"/>
    </xf>
    <xf numFmtId="4" fontId="33" fillId="29" borderId="9" applyNumberFormat="0" applyProtection="0">
      <alignment horizontal="left" vertical="center" indent="1"/>
    </xf>
    <xf numFmtId="0" fontId="33" fillId="30" borderId="9" applyNumberFormat="0" applyProtection="0">
      <alignment horizontal="left" vertical="top" indent="1"/>
    </xf>
    <xf numFmtId="4" fontId="37" fillId="34" borderId="0" applyNumberFormat="0" applyProtection="0">
      <alignment horizontal="left" vertical="center" indent="1"/>
    </xf>
    <xf numFmtId="4" fontId="38" fillId="27" borderId="9" applyNumberFormat="0" applyProtection="0">
      <alignment horizontal="right" vertical="center"/>
    </xf>
    <xf numFmtId="0" fontId="7" fillId="0" borderId="12" applyFont="0" applyFill="0" applyBorder="0" applyAlignment="0" applyProtection="0">
      <alignment horizontal="center" vertical="center" wrapText="1"/>
    </xf>
    <xf numFmtId="0" fontId="7" fillId="0" borderId="12" applyFont="0" applyBorder="0" applyAlignment="0">
      <alignment horizontal="center" vertical="center" wrapText="1"/>
    </xf>
    <xf numFmtId="0" fontId="39" fillId="0" borderId="0" applyNumberFormat="0" applyFill="0" applyBorder="0" applyAlignment="0" applyProtection="0"/>
    <xf numFmtId="0" fontId="40" fillId="0" borderId="11" applyNumberFormat="0" applyFill="0" applyAlignment="0" applyProtection="0"/>
    <xf numFmtId="0" fontId="41" fillId="0" borderId="0" applyNumberFormat="0" applyFill="0" applyBorder="0" applyAlignment="0" applyProtection="0"/>
  </cellStyleXfs>
  <cellXfs count="1090">
    <xf numFmtId="0" fontId="0" fillId="0" borderId="0" xfId="0"/>
    <xf numFmtId="0" fontId="0" fillId="0" borderId="13" xfId="0" applyNumberFormat="1" applyFill="1" applyBorder="1"/>
    <xf numFmtId="0" fontId="0" fillId="0" borderId="14" xfId="0" applyNumberFormat="1" applyFill="1" applyBorder="1"/>
    <xf numFmtId="0" fontId="0" fillId="0" borderId="15" xfId="0" applyFill="1" applyBorder="1" applyAlignment="1">
      <alignment horizontal="left" indent="2"/>
    </xf>
    <xf numFmtId="0" fontId="0" fillId="0" borderId="16" xfId="0" applyFill="1" applyBorder="1" applyAlignment="1">
      <alignment horizontal="left" indent="2"/>
    </xf>
    <xf numFmtId="0" fontId="0" fillId="0" borderId="17" xfId="0" applyNumberForma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0" xfId="0" applyFont="1" applyFill="1" applyBorder="1"/>
    <xf numFmtId="0" fontId="10" fillId="0" borderId="0" xfId="0" applyNumberFormat="1" applyFont="1" applyFill="1" applyBorder="1" applyAlignment="1">
      <alignment horizontal="center" vertical="center" textRotation="90"/>
    </xf>
    <xf numFmtId="0" fontId="10" fillId="0" borderId="0" xfId="0" applyFont="1" applyFill="1" applyBorder="1" applyAlignment="1">
      <alignment horizontal="left" vertical="center" wrapText="1" indent="1"/>
    </xf>
    <xf numFmtId="3" fontId="10" fillId="0" borderId="0" xfId="0" applyNumberFormat="1" applyFont="1" applyFill="1" applyBorder="1"/>
    <xf numFmtId="166" fontId="10" fillId="0" borderId="0" xfId="27" applyNumberFormat="1" applyFont="1" applyFill="1" applyBorder="1" applyAlignment="1">
      <alignment horizontal="center"/>
    </xf>
    <xf numFmtId="166" fontId="9" fillId="0" borderId="0" xfId="27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/>
    <xf numFmtId="0" fontId="13" fillId="0" borderId="0" xfId="0" applyFont="1" applyFill="1" applyBorder="1" applyAlignment="1">
      <alignment horizontal="left" indent="2"/>
    </xf>
    <xf numFmtId="0" fontId="13" fillId="0" borderId="0" xfId="0" applyFont="1" applyAlignment="1">
      <alignment horizontal="right"/>
    </xf>
    <xf numFmtId="0" fontId="7" fillId="0" borderId="0" xfId="0" applyFont="1" applyFill="1" applyAlignment="1">
      <alignment wrapText="1"/>
    </xf>
    <xf numFmtId="0" fontId="2" fillId="0" borderId="0" xfId="0" applyFont="1" applyFill="1" applyBorder="1"/>
    <xf numFmtId="0" fontId="8" fillId="0" borderId="18" xfId="0" applyNumberFormat="1" applyFont="1" applyFill="1" applyBorder="1" applyAlignment="1">
      <alignment horizontal="center" vertical="center" textRotation="90" wrapText="1"/>
    </xf>
    <xf numFmtId="0" fontId="8" fillId="0" borderId="19" xfId="0" applyNumberFormat="1" applyFont="1" applyFill="1" applyBorder="1" applyAlignment="1">
      <alignment horizontal="center" vertical="center" textRotation="90" wrapText="1"/>
    </xf>
    <xf numFmtId="0" fontId="8" fillId="0" borderId="20" xfId="0" applyNumberFormat="1" applyFont="1" applyFill="1" applyBorder="1" applyAlignment="1">
      <alignment horizontal="center" vertical="center" textRotation="90"/>
    </xf>
    <xf numFmtId="0" fontId="8" fillId="0" borderId="21" xfId="0" applyNumberFormat="1" applyFont="1" applyFill="1" applyBorder="1" applyAlignment="1">
      <alignment horizontal="center" vertical="center" textRotation="90"/>
    </xf>
    <xf numFmtId="0" fontId="8" fillId="0" borderId="19" xfId="0" applyNumberFormat="1" applyFont="1" applyFill="1" applyBorder="1" applyAlignment="1">
      <alignment horizontal="center" vertical="center" textRotation="90"/>
    </xf>
    <xf numFmtId="0" fontId="43" fillId="0" borderId="0" xfId="0" applyFont="1" applyFill="1" applyBorder="1" applyAlignment="1">
      <alignment horizontal="right"/>
    </xf>
    <xf numFmtId="0" fontId="45" fillId="35" borderId="0" xfId="0" applyFont="1" applyFill="1"/>
    <xf numFmtId="0" fontId="46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2" fontId="0" fillId="0" borderId="0" xfId="0" applyNumberFormat="1"/>
    <xf numFmtId="3" fontId="9" fillId="0" borderId="13" xfId="0" applyNumberFormat="1" applyFont="1" applyFill="1" applyBorder="1"/>
    <xf numFmtId="3" fontId="0" fillId="0" borderId="17" xfId="0" applyNumberFormat="1" applyFill="1" applyBorder="1"/>
    <xf numFmtId="3" fontId="0" fillId="0" borderId="13" xfId="0" applyNumberFormat="1" applyFill="1" applyBorder="1"/>
    <xf numFmtId="3" fontId="9" fillId="0" borderId="17" xfId="27" applyNumberFormat="1" applyFont="1" applyFill="1" applyBorder="1" applyAlignment="1">
      <alignment horizontal="right" indent="1"/>
    </xf>
    <xf numFmtId="2" fontId="11" fillId="0" borderId="22" xfId="27" applyNumberFormat="1" applyFont="1" applyFill="1" applyBorder="1" applyAlignment="1">
      <alignment horizontal="right" indent="1"/>
    </xf>
    <xf numFmtId="3" fontId="9" fillId="0" borderId="13" xfId="27" applyNumberFormat="1" applyFont="1" applyFill="1" applyBorder="1" applyAlignment="1">
      <alignment horizontal="right" indent="1"/>
    </xf>
    <xf numFmtId="2" fontId="11" fillId="0" borderId="23" xfId="27" applyNumberFormat="1" applyFont="1" applyFill="1" applyBorder="1" applyAlignment="1">
      <alignment horizontal="right" indent="1"/>
    </xf>
    <xf numFmtId="3" fontId="9" fillId="0" borderId="24" xfId="27" applyNumberFormat="1" applyFont="1" applyFill="1" applyBorder="1" applyAlignment="1">
      <alignment horizontal="right" indent="1"/>
    </xf>
    <xf numFmtId="2" fontId="11" fillId="0" borderId="25" xfId="27" applyNumberFormat="1" applyFont="1" applyFill="1" applyBorder="1" applyAlignment="1">
      <alignment horizontal="right" indent="1"/>
    </xf>
    <xf numFmtId="3" fontId="9" fillId="0" borderId="26" xfId="27" applyNumberFormat="1" applyFont="1" applyFill="1" applyBorder="1" applyAlignment="1">
      <alignment horizontal="right" indent="1"/>
    </xf>
    <xf numFmtId="2" fontId="11" fillId="0" borderId="27" xfId="27" applyNumberFormat="1" applyFont="1" applyFill="1" applyBorder="1" applyAlignment="1">
      <alignment horizontal="right" indent="1"/>
    </xf>
    <xf numFmtId="3" fontId="67" fillId="0" borderId="0" xfId="0" applyNumberFormat="1" applyFont="1" applyBorder="1" applyAlignment="1">
      <alignment horizontal="left" vertical="center" wrapText="1"/>
    </xf>
    <xf numFmtId="3" fontId="68" fillId="0" borderId="0" xfId="0" applyNumberFormat="1" applyFont="1" applyBorder="1" applyAlignment="1">
      <alignment horizontal="center" vertical="center" wrapText="1"/>
    </xf>
    <xf numFmtId="3" fontId="68" fillId="0" borderId="0" xfId="0" applyNumberFormat="1" applyFont="1" applyBorder="1" applyAlignment="1">
      <alignment horizontal="left" vertical="center" wrapText="1"/>
    </xf>
    <xf numFmtId="168" fontId="67" fillId="35" borderId="0" xfId="0" applyNumberFormat="1" applyFont="1" applyFill="1" applyBorder="1" applyAlignment="1">
      <alignment horizontal="right" vertical="center" wrapText="1"/>
    </xf>
    <xf numFmtId="4" fontId="67" fillId="35" borderId="0" xfId="0" applyNumberFormat="1" applyFont="1" applyFill="1" applyBorder="1" applyAlignment="1">
      <alignment horizontal="right" vertical="center" wrapText="1"/>
    </xf>
    <xf numFmtId="3" fontId="69" fillId="35" borderId="0" xfId="0" applyNumberFormat="1" applyFont="1" applyFill="1" applyBorder="1" applyAlignment="1">
      <alignment horizontal="left" vertical="center" indent="1"/>
    </xf>
    <xf numFmtId="3" fontId="67" fillId="0" borderId="0" xfId="0" applyNumberFormat="1" applyFont="1" applyFill="1" applyBorder="1" applyAlignment="1">
      <alignment horizontal="left" vertical="center" wrapText="1"/>
    </xf>
    <xf numFmtId="168" fontId="67" fillId="0" borderId="0" xfId="0" applyNumberFormat="1" applyFont="1" applyFill="1" applyBorder="1" applyAlignment="1">
      <alignment horizontal="left" vertical="center" wrapText="1"/>
    </xf>
    <xf numFmtId="4" fontId="67" fillId="0" borderId="0" xfId="0" applyNumberFormat="1" applyFont="1" applyBorder="1" applyAlignment="1">
      <alignment horizontal="right" vertical="center" wrapText="1"/>
    </xf>
    <xf numFmtId="168" fontId="67" fillId="0" borderId="0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51" fillId="0" borderId="0" xfId="48" applyNumberFormat="1" applyFont="1" applyBorder="1" applyAlignment="1">
      <alignment horizontal="left" vertical="center" wrapText="1"/>
    </xf>
    <xf numFmtId="3" fontId="52" fillId="0" borderId="0" xfId="48" applyNumberFormat="1" applyFont="1" applyBorder="1" applyAlignment="1">
      <alignment horizontal="center" vertical="center" wrapText="1"/>
    </xf>
    <xf numFmtId="3" fontId="50" fillId="0" borderId="0" xfId="48" applyNumberFormat="1" applyFont="1" applyBorder="1" applyAlignment="1">
      <alignment horizontal="left" vertical="center" wrapText="1"/>
    </xf>
    <xf numFmtId="3" fontId="51" fillId="0" borderId="0" xfId="48" applyNumberFormat="1" applyFont="1" applyFill="1" applyBorder="1" applyAlignment="1">
      <alignment horizontal="left" vertical="center" wrapText="1"/>
    </xf>
    <xf numFmtId="3" fontId="49" fillId="0" borderId="0" xfId="51" applyNumberFormat="1" applyFont="1" applyBorder="1" applyAlignment="1">
      <alignment vertical="center" wrapText="1"/>
    </xf>
    <xf numFmtId="3" fontId="14" fillId="0" borderId="0" xfId="51" applyNumberFormat="1" applyFont="1" applyBorder="1" applyAlignment="1">
      <alignment horizontal="center" vertical="center" wrapText="1"/>
    </xf>
    <xf numFmtId="4" fontId="14" fillId="0" borderId="0" xfId="51" applyNumberFormat="1" applyFont="1" applyBorder="1" applyAlignment="1">
      <alignment vertical="center" wrapText="1"/>
    </xf>
    <xf numFmtId="3" fontId="14" fillId="0" borderId="0" xfId="51" applyNumberFormat="1" applyFont="1" applyBorder="1" applyAlignment="1">
      <alignment vertical="center" wrapText="1"/>
    </xf>
    <xf numFmtId="4" fontId="50" fillId="0" borderId="0" xfId="51" applyNumberFormat="1" applyFont="1" applyBorder="1" applyAlignment="1">
      <alignment vertical="center" wrapText="1"/>
    </xf>
    <xf numFmtId="3" fontId="50" fillId="0" borderId="0" xfId="51" applyNumberFormat="1" applyFont="1" applyBorder="1" applyAlignment="1">
      <alignment vertical="center" wrapText="1"/>
    </xf>
    <xf numFmtId="0" fontId="14" fillId="0" borderId="0" xfId="51" applyFont="1" applyBorder="1" applyAlignment="1">
      <alignment vertical="center" wrapText="1"/>
    </xf>
    <xf numFmtId="2" fontId="14" fillId="0" borderId="0" xfId="51" applyNumberFormat="1" applyFont="1" applyBorder="1" applyAlignment="1">
      <alignment vertical="center" wrapText="1"/>
    </xf>
    <xf numFmtId="0" fontId="14" fillId="0" borderId="0" xfId="51" applyFont="1"/>
    <xf numFmtId="2" fontId="14" fillId="0" borderId="0" xfId="51" applyNumberFormat="1" applyFont="1"/>
    <xf numFmtId="0" fontId="50" fillId="0" borderId="0" xfId="51" applyFont="1"/>
    <xf numFmtId="0" fontId="55" fillId="0" borderId="0" xfId="51" applyFont="1"/>
    <xf numFmtId="0" fontId="53" fillId="0" borderId="0" xfId="51"/>
    <xf numFmtId="3" fontId="57" fillId="0" borderId="0" xfId="51" applyNumberFormat="1" applyFont="1" applyBorder="1" applyAlignment="1">
      <alignment vertical="center" wrapText="1"/>
    </xf>
    <xf numFmtId="3" fontId="51" fillId="0" borderId="0" xfId="51" applyNumberFormat="1" applyFont="1" applyFill="1" applyBorder="1" applyAlignment="1">
      <alignment vertical="center" wrapText="1"/>
    </xf>
    <xf numFmtId="3" fontId="51" fillId="0" borderId="0" xfId="51" applyNumberFormat="1" applyFont="1" applyBorder="1" applyAlignment="1">
      <alignment vertical="center" wrapText="1"/>
    </xf>
    <xf numFmtId="3" fontId="58" fillId="0" borderId="0" xfId="51" applyNumberFormat="1" applyFont="1" applyBorder="1" applyAlignment="1">
      <alignment vertical="center" wrapText="1"/>
    </xf>
    <xf numFmtId="3" fontId="56" fillId="0" borderId="0" xfId="51" applyNumberFormat="1" applyFont="1" applyBorder="1" applyAlignment="1">
      <alignment vertical="center" wrapText="1"/>
    </xf>
    <xf numFmtId="3" fontId="51" fillId="0" borderId="0" xfId="55" applyNumberFormat="1" applyFont="1" applyFill="1" applyBorder="1" applyAlignment="1">
      <alignment horizontal="left" vertical="center" wrapText="1"/>
    </xf>
    <xf numFmtId="3" fontId="14" fillId="0" borderId="0" xfId="48" applyNumberFormat="1" applyFont="1" applyFill="1" applyAlignment="1">
      <alignment horizontal="right" vertical="center" wrapText="1" indent="1"/>
    </xf>
    <xf numFmtId="3" fontId="14" fillId="0" borderId="0" xfId="48" applyNumberFormat="1" applyFont="1" applyFill="1" applyAlignment="1">
      <alignment horizontal="right" vertical="center" wrapText="1"/>
    </xf>
    <xf numFmtId="3" fontId="14" fillId="0" borderId="0" xfId="48" applyNumberFormat="1" applyFont="1" applyFill="1" applyAlignment="1">
      <alignment vertical="center" wrapText="1"/>
    </xf>
    <xf numFmtId="0" fontId="29" fillId="0" borderId="0" xfId="49" applyFill="1"/>
    <xf numFmtId="170" fontId="0" fillId="0" borderId="0" xfId="27" applyNumberFormat="1" applyFont="1" applyFill="1" applyBorder="1"/>
    <xf numFmtId="14" fontId="0" fillId="0" borderId="0" xfId="0" applyNumberFormat="1" applyFill="1" applyBorder="1"/>
    <xf numFmtId="0" fontId="0" fillId="0" borderId="0" xfId="0" applyFont="1" applyFill="1" applyBorder="1"/>
    <xf numFmtId="0" fontId="0" fillId="0" borderId="0" xfId="0" applyFill="1"/>
    <xf numFmtId="171" fontId="0" fillId="0" borderId="0" xfId="0" applyNumberFormat="1" applyFill="1" applyBorder="1"/>
    <xf numFmtId="0" fontId="0" fillId="0" borderId="0" xfId="0" applyBorder="1"/>
    <xf numFmtId="3" fontId="13" fillId="0" borderId="0" xfId="0" applyNumberFormat="1" applyFont="1"/>
    <xf numFmtId="0" fontId="2" fillId="0" borderId="28" xfId="0" applyFont="1" applyFill="1" applyBorder="1"/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0" fillId="0" borderId="29" xfId="0" applyFill="1" applyBorder="1"/>
    <xf numFmtId="3" fontId="0" fillId="0" borderId="30" xfId="0" applyNumberFormat="1" applyFill="1" applyBorder="1"/>
    <xf numFmtId="3" fontId="0" fillId="0" borderId="31" xfId="0" applyNumberFormat="1" applyFill="1" applyBorder="1"/>
    <xf numFmtId="0" fontId="0" fillId="0" borderId="30" xfId="0" applyFill="1" applyBorder="1"/>
    <xf numFmtId="0" fontId="0" fillId="0" borderId="31" xfId="0" applyFill="1" applyBorder="1"/>
    <xf numFmtId="3" fontId="0" fillId="0" borderId="32" xfId="0" applyNumberFormat="1" applyFill="1" applyBorder="1"/>
    <xf numFmtId="0" fontId="0" fillId="0" borderId="15" xfId="0" applyFill="1" applyBorder="1"/>
    <xf numFmtId="3" fontId="0" fillId="0" borderId="22" xfId="0" applyNumberFormat="1" applyFill="1" applyBorder="1"/>
    <xf numFmtId="0" fontId="0" fillId="0" borderId="17" xfId="0" applyFill="1" applyBorder="1"/>
    <xf numFmtId="0" fontId="0" fillId="0" borderId="22" xfId="0" applyFill="1" applyBorder="1"/>
    <xf numFmtId="3" fontId="0" fillId="0" borderId="33" xfId="0" applyNumberFormat="1" applyFill="1" applyBorder="1"/>
    <xf numFmtId="0" fontId="0" fillId="0" borderId="33" xfId="0" applyFill="1" applyBorder="1"/>
    <xf numFmtId="0" fontId="0" fillId="0" borderId="16" xfId="0" applyFill="1" applyBorder="1"/>
    <xf numFmtId="3" fontId="0" fillId="0" borderId="34" xfId="0" applyNumberFormat="1" applyFill="1" applyBorder="1"/>
    <xf numFmtId="3" fontId="0" fillId="0" borderId="35" xfId="0" applyNumberFormat="1" applyFill="1" applyBorder="1"/>
    <xf numFmtId="0" fontId="0" fillId="0" borderId="34" xfId="0" applyFill="1" applyBorder="1"/>
    <xf numFmtId="0" fontId="0" fillId="0" borderId="35" xfId="0" applyFill="1" applyBorder="1"/>
    <xf numFmtId="3" fontId="0" fillId="0" borderId="36" xfId="0" applyNumberFormat="1" applyFill="1" applyBorder="1"/>
    <xf numFmtId="0" fontId="4" fillId="0" borderId="0" xfId="0" applyFont="1" applyFill="1"/>
    <xf numFmtId="0" fontId="2" fillId="0" borderId="37" xfId="0" applyFont="1" applyFill="1" applyBorder="1"/>
    <xf numFmtId="3" fontId="2" fillId="0" borderId="38" xfId="0" applyNumberFormat="1" applyFont="1" applyFill="1" applyBorder="1"/>
    <xf numFmtId="10" fontId="0" fillId="0" borderId="30" xfId="60" applyNumberFormat="1" applyFont="1" applyFill="1" applyBorder="1"/>
    <xf numFmtId="10" fontId="0" fillId="0" borderId="31" xfId="60" applyNumberFormat="1" applyFont="1" applyFill="1" applyBorder="1"/>
    <xf numFmtId="10" fontId="0" fillId="0" borderId="32" xfId="60" applyNumberFormat="1" applyFont="1" applyFill="1" applyBorder="1"/>
    <xf numFmtId="10" fontId="0" fillId="0" borderId="17" xfId="60" applyNumberFormat="1" applyFont="1" applyFill="1" applyBorder="1"/>
    <xf numFmtId="10" fontId="0" fillId="0" borderId="22" xfId="60" applyNumberFormat="1" applyFont="1" applyFill="1" applyBorder="1"/>
    <xf numFmtId="10" fontId="0" fillId="0" borderId="33" xfId="60" applyNumberFormat="1" applyFont="1" applyFill="1" applyBorder="1"/>
    <xf numFmtId="10" fontId="0" fillId="0" borderId="34" xfId="60" applyNumberFormat="1" applyFont="1" applyFill="1" applyBorder="1"/>
    <xf numFmtId="10" fontId="0" fillId="0" borderId="35" xfId="60" applyNumberFormat="1" applyFont="1" applyFill="1" applyBorder="1"/>
    <xf numFmtId="10" fontId="0" fillId="0" borderId="36" xfId="60" applyNumberFormat="1" applyFont="1" applyFill="1" applyBorder="1"/>
    <xf numFmtId="0" fontId="2" fillId="0" borderId="37" xfId="0" applyFont="1" applyFill="1" applyBorder="1" applyAlignment="1">
      <alignment horizontal="left"/>
    </xf>
    <xf numFmtId="3" fontId="8" fillId="0" borderId="20" xfId="0" applyNumberFormat="1" applyFont="1" applyFill="1" applyBorder="1"/>
    <xf numFmtId="10" fontId="12" fillId="0" borderId="19" xfId="0" applyNumberFormat="1" applyFont="1" applyFill="1" applyBorder="1"/>
    <xf numFmtId="3" fontId="2" fillId="0" borderId="21" xfId="0" applyNumberFormat="1" applyFont="1" applyFill="1" applyBorder="1"/>
    <xf numFmtId="10" fontId="3" fillId="0" borderId="19" xfId="0" applyNumberFormat="1" applyFont="1" applyFill="1" applyBorder="1"/>
    <xf numFmtId="10" fontId="3" fillId="0" borderId="38" xfId="0" applyNumberFormat="1" applyFont="1" applyFill="1" applyBorder="1"/>
    <xf numFmtId="10" fontId="11" fillId="0" borderId="22" xfId="0" applyNumberFormat="1" applyFont="1" applyFill="1" applyBorder="1"/>
    <xf numFmtId="10" fontId="4" fillId="0" borderId="22" xfId="0" applyNumberFormat="1" applyFont="1" applyFill="1" applyBorder="1"/>
    <xf numFmtId="3" fontId="2" fillId="0" borderId="20" xfId="0" applyNumberFormat="1" applyFont="1" applyFill="1" applyBorder="1"/>
    <xf numFmtId="10" fontId="4" fillId="0" borderId="35" xfId="0" applyNumberFormat="1" applyFont="1" applyFill="1" applyBorder="1"/>
    <xf numFmtId="0" fontId="2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22" xfId="0" applyNumberFormat="1" applyFill="1" applyBorder="1"/>
    <xf numFmtId="3" fontId="0" fillId="0" borderId="15" xfId="0" applyNumberFormat="1" applyFill="1" applyBorder="1"/>
    <xf numFmtId="10" fontId="4" fillId="0" borderId="15" xfId="60" applyNumberFormat="1" applyFont="1" applyFill="1" applyBorder="1"/>
    <xf numFmtId="10" fontId="3" fillId="0" borderId="38" xfId="60" applyNumberFormat="1" applyFont="1" applyFill="1" applyBorder="1"/>
    <xf numFmtId="3" fontId="0" fillId="0" borderId="41" xfId="0" applyNumberFormat="1" applyFill="1" applyBorder="1"/>
    <xf numFmtId="3" fontId="0" fillId="0" borderId="29" xfId="0" applyNumberFormat="1" applyFill="1" applyBorder="1"/>
    <xf numFmtId="3" fontId="0" fillId="0" borderId="14" xfId="0" applyNumberFormat="1" applyFill="1" applyBorder="1"/>
    <xf numFmtId="3" fontId="0" fillId="0" borderId="16" xfId="0" applyNumberFormat="1" applyFill="1" applyBorder="1"/>
    <xf numFmtId="3" fontId="2" fillId="0" borderId="42" xfId="27" applyNumberFormat="1" applyFont="1" applyFill="1" applyBorder="1"/>
    <xf numFmtId="3" fontId="2" fillId="0" borderId="43" xfId="27" applyNumberFormat="1" applyFont="1" applyFill="1" applyBorder="1"/>
    <xf numFmtId="1" fontId="2" fillId="0" borderId="43" xfId="27" applyNumberFormat="1" applyFont="1" applyFill="1" applyBorder="1"/>
    <xf numFmtId="3" fontId="2" fillId="0" borderId="38" xfId="27" applyNumberFormat="1" applyFont="1" applyFill="1" applyBorder="1"/>
    <xf numFmtId="10" fontId="4" fillId="0" borderId="30" xfId="60" applyNumberFormat="1" applyFont="1" applyFill="1" applyBorder="1"/>
    <xf numFmtId="10" fontId="4" fillId="0" borderId="31" xfId="60" applyNumberFormat="1" applyFont="1" applyFill="1" applyBorder="1"/>
    <xf numFmtId="10" fontId="4" fillId="0" borderId="32" xfId="60" applyNumberFormat="1" applyFont="1" applyFill="1" applyBorder="1"/>
    <xf numFmtId="10" fontId="4" fillId="0" borderId="17" xfId="60" applyNumberFormat="1" applyFont="1" applyFill="1" applyBorder="1"/>
    <xf numFmtId="10" fontId="4" fillId="0" borderId="22" xfId="60" applyNumberFormat="1" applyFont="1" applyFill="1" applyBorder="1"/>
    <xf numFmtId="10" fontId="4" fillId="0" borderId="33" xfId="60" applyNumberFormat="1" applyFont="1" applyFill="1" applyBorder="1"/>
    <xf numFmtId="10" fontId="4" fillId="0" borderId="24" xfId="60" applyNumberFormat="1" applyFont="1" applyFill="1" applyBorder="1"/>
    <xf numFmtId="10" fontId="4" fillId="0" borderId="25" xfId="60" applyNumberFormat="1" applyFont="1" applyFill="1" applyBorder="1"/>
    <xf numFmtId="10" fontId="4" fillId="0" borderId="44" xfId="60" applyNumberFormat="1" applyFont="1" applyFill="1" applyBorder="1"/>
    <xf numFmtId="10" fontId="3" fillId="0" borderId="21" xfId="60" applyNumberFormat="1" applyFont="1" applyFill="1" applyBorder="1"/>
    <xf numFmtId="10" fontId="3" fillId="0" borderId="19" xfId="60" applyNumberFormat="1" applyFont="1" applyFill="1" applyBorder="1"/>
    <xf numFmtId="0" fontId="2" fillId="0" borderId="1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3" fontId="0" fillId="0" borderId="46" xfId="0" applyNumberFormat="1" applyFill="1" applyBorder="1"/>
    <xf numFmtId="10" fontId="48" fillId="0" borderId="29" xfId="0" applyNumberFormat="1" applyFont="1" applyFill="1" applyBorder="1" applyAlignment="1">
      <alignment horizontal="right"/>
    </xf>
    <xf numFmtId="3" fontId="0" fillId="0" borderId="47" xfId="0" applyNumberFormat="1" applyFill="1" applyBorder="1"/>
    <xf numFmtId="10" fontId="48" fillId="0" borderId="15" xfId="0" applyNumberFormat="1" applyFont="1" applyFill="1" applyBorder="1" applyAlignment="1">
      <alignment horizontal="right"/>
    </xf>
    <xf numFmtId="3" fontId="0" fillId="0" borderId="45" xfId="0" applyNumberFormat="1" applyFill="1" applyBorder="1"/>
    <xf numFmtId="10" fontId="48" fillId="0" borderId="16" xfId="0" applyNumberFormat="1" applyFont="1" applyFill="1" applyBorder="1" applyAlignment="1">
      <alignment horizontal="right"/>
    </xf>
    <xf numFmtId="0" fontId="2" fillId="0" borderId="48" xfId="0" applyFont="1" applyFill="1" applyBorder="1"/>
    <xf numFmtId="3" fontId="0" fillId="0" borderId="49" xfId="0" applyNumberFormat="1" applyFill="1" applyBorder="1"/>
    <xf numFmtId="3" fontId="0" fillId="0" borderId="19" xfId="0" applyNumberFormat="1" applyFill="1" applyBorder="1"/>
    <xf numFmtId="3" fontId="0" fillId="0" borderId="50" xfId="0" applyNumberFormat="1" applyFill="1" applyBorder="1"/>
    <xf numFmtId="3" fontId="0" fillId="0" borderId="51" xfId="0" applyNumberFormat="1" applyFill="1" applyBorder="1"/>
    <xf numFmtId="3" fontId="0" fillId="0" borderId="37" xfId="0" applyNumberFormat="1" applyFill="1" applyBorder="1"/>
    <xf numFmtId="10" fontId="48" fillId="0" borderId="37" xfId="0" applyNumberFormat="1" applyFont="1" applyFill="1" applyBorder="1" applyAlignment="1">
      <alignment horizontal="right"/>
    </xf>
    <xf numFmtId="9" fontId="0" fillId="0" borderId="0" xfId="60" applyFont="1" applyFill="1"/>
    <xf numFmtId="3" fontId="9" fillId="0" borderId="23" xfId="27" applyNumberFormat="1" applyFont="1" applyFill="1" applyBorder="1" applyAlignment="1">
      <alignment horizontal="right" indent="1"/>
    </xf>
    <xf numFmtId="3" fontId="9" fillId="0" borderId="27" xfId="27" applyNumberFormat="1" applyFont="1" applyFill="1" applyBorder="1" applyAlignment="1">
      <alignment horizontal="right" indent="1"/>
    </xf>
    <xf numFmtId="3" fontId="8" fillId="0" borderId="21" xfId="27" applyNumberFormat="1" applyFont="1" applyFill="1" applyBorder="1" applyAlignment="1">
      <alignment horizontal="right" indent="1"/>
    </xf>
    <xf numFmtId="3" fontId="8" fillId="0" borderId="18" xfId="27" applyNumberFormat="1" applyFont="1" applyFill="1" applyBorder="1" applyAlignment="1">
      <alignment horizontal="right" indent="1"/>
    </xf>
    <xf numFmtId="2" fontId="12" fillId="0" borderId="19" xfId="27" applyNumberFormat="1" applyFont="1" applyFill="1" applyBorder="1" applyAlignment="1">
      <alignment horizontal="right" indent="1"/>
    </xf>
    <xf numFmtId="3" fontId="8" fillId="0" borderId="20" xfId="27" applyNumberFormat="1" applyFont="1" applyFill="1" applyBorder="1" applyAlignment="1">
      <alignment horizontal="right" indent="1"/>
    </xf>
    <xf numFmtId="2" fontId="12" fillId="0" borderId="18" xfId="27" applyNumberFormat="1" applyFont="1" applyFill="1" applyBorder="1" applyAlignment="1">
      <alignment horizontal="right" indent="1"/>
    </xf>
    <xf numFmtId="3" fontId="0" fillId="0" borderId="30" xfId="0" applyNumberFormat="1" applyFill="1" applyBorder="1" applyAlignment="1">
      <alignment horizontal="right" indent="1"/>
    </xf>
    <xf numFmtId="165" fontId="4" fillId="0" borderId="31" xfId="60" applyNumberFormat="1" applyFont="1" applyFill="1" applyBorder="1" applyAlignment="1">
      <alignment horizontal="right" indent="1"/>
    </xf>
    <xf numFmtId="3" fontId="0" fillId="0" borderId="17" xfId="0" applyNumberFormat="1" applyFill="1" applyBorder="1" applyAlignment="1">
      <alignment horizontal="right" indent="1"/>
    </xf>
    <xf numFmtId="165" fontId="4" fillId="0" borderId="22" xfId="60" applyNumberFormat="1" applyFont="1" applyFill="1" applyBorder="1" applyAlignment="1">
      <alignment horizontal="right" indent="1"/>
    </xf>
    <xf numFmtId="3" fontId="0" fillId="0" borderId="34" xfId="0" applyNumberFormat="1" applyFill="1" applyBorder="1" applyAlignment="1">
      <alignment horizontal="right" indent="1"/>
    </xf>
    <xf numFmtId="165" fontId="4" fillId="0" borderId="35" xfId="60" applyNumberFormat="1" applyFont="1" applyFill="1" applyBorder="1" applyAlignment="1">
      <alignment horizontal="right" indent="1"/>
    </xf>
    <xf numFmtId="0" fontId="13" fillId="0" borderId="0" xfId="0" applyFont="1" applyFill="1" applyAlignment="1">
      <alignment horizontal="right"/>
    </xf>
    <xf numFmtId="0" fontId="2" fillId="0" borderId="39" xfId="0" applyFont="1" applyFill="1" applyBorder="1" applyAlignment="1">
      <alignment horizontal="center"/>
    </xf>
    <xf numFmtId="0" fontId="0" fillId="0" borderId="52" xfId="0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/>
    <xf numFmtId="0" fontId="2" fillId="0" borderId="37" xfId="0" applyFont="1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3" fontId="0" fillId="0" borderId="53" xfId="0" applyNumberFormat="1" applyFill="1" applyBorder="1" applyAlignment="1">
      <alignment horizontal="right" indent="1"/>
    </xf>
    <xf numFmtId="165" fontId="4" fillId="0" borderId="31" xfId="0" applyNumberFormat="1" applyFont="1" applyFill="1" applyBorder="1" applyAlignment="1">
      <alignment horizontal="right" indent="1"/>
    </xf>
    <xf numFmtId="0" fontId="0" fillId="0" borderId="54" xfId="0" applyFill="1" applyBorder="1" applyAlignment="1">
      <alignment horizontal="center"/>
    </xf>
    <xf numFmtId="3" fontId="0" fillId="0" borderId="23" xfId="0" applyNumberFormat="1" applyFill="1" applyBorder="1" applyAlignment="1">
      <alignment horizontal="right" indent="1"/>
    </xf>
    <xf numFmtId="165" fontId="4" fillId="0" borderId="22" xfId="0" applyNumberFormat="1" applyFont="1" applyFill="1" applyBorder="1" applyAlignment="1">
      <alignment horizontal="right" indent="1"/>
    </xf>
    <xf numFmtId="0" fontId="0" fillId="0" borderId="40" xfId="0" applyFill="1" applyBorder="1" applyAlignment="1">
      <alignment horizontal="center"/>
    </xf>
    <xf numFmtId="3" fontId="0" fillId="0" borderId="55" xfId="0" applyNumberFormat="1" applyFill="1" applyBorder="1" applyAlignment="1">
      <alignment horizontal="right" indent="1"/>
    </xf>
    <xf numFmtId="165" fontId="4" fillId="0" borderId="35" xfId="0" applyNumberFormat="1" applyFont="1" applyFill="1" applyBorder="1" applyAlignment="1">
      <alignment horizontal="right" indent="1"/>
    </xf>
    <xf numFmtId="0" fontId="0" fillId="0" borderId="0" xfId="0" applyFill="1" applyAlignment="1">
      <alignment horizontal="center"/>
    </xf>
    <xf numFmtId="0" fontId="8" fillId="0" borderId="47" xfId="0" applyFont="1" applyFill="1" applyBorder="1" applyAlignment="1">
      <alignment horizontal="centerContinuous" vertical="center"/>
    </xf>
    <xf numFmtId="0" fontId="8" fillId="0" borderId="33" xfId="0" applyFont="1" applyFill="1" applyBorder="1" applyAlignment="1">
      <alignment horizontal="centerContinuous" vertical="center"/>
    </xf>
    <xf numFmtId="0" fontId="8" fillId="0" borderId="55" xfId="0" applyFont="1" applyFill="1" applyBorder="1" applyAlignment="1">
      <alignment horizontal="center" vertical="center" textRotation="90" wrapText="1"/>
    </xf>
    <xf numFmtId="0" fontId="8" fillId="0" borderId="36" xfId="0" applyFont="1" applyFill="1" applyBorder="1" applyAlignment="1">
      <alignment horizontal="center" vertical="center" textRotation="90" wrapText="1"/>
    </xf>
    <xf numFmtId="3" fontId="9" fillId="0" borderId="17" xfId="0" applyNumberFormat="1" applyFont="1" applyFill="1" applyBorder="1" applyAlignment="1">
      <alignment horizontal="right" indent="1"/>
    </xf>
    <xf numFmtId="3" fontId="9" fillId="0" borderId="23" xfId="0" applyNumberFormat="1" applyFont="1" applyFill="1" applyBorder="1" applyAlignment="1">
      <alignment horizontal="right" indent="1"/>
    </xf>
    <xf numFmtId="165" fontId="12" fillId="0" borderId="22" xfId="60" applyNumberFormat="1" applyFont="1" applyFill="1" applyBorder="1" applyAlignment="1">
      <alignment vertical="center"/>
    </xf>
    <xf numFmtId="165" fontId="12" fillId="0" borderId="22" xfId="60" applyNumberFormat="1" applyFont="1" applyFill="1" applyBorder="1" applyAlignment="1">
      <alignment horizontal="center" vertical="center"/>
    </xf>
    <xf numFmtId="3" fontId="9" fillId="0" borderId="34" xfId="0" applyNumberFormat="1" applyFont="1" applyFill="1" applyBorder="1" applyAlignment="1">
      <alignment horizontal="right" indent="1"/>
    </xf>
    <xf numFmtId="3" fontId="9" fillId="0" borderId="55" xfId="0" applyNumberFormat="1" applyFont="1" applyFill="1" applyBorder="1" applyAlignment="1">
      <alignment horizontal="right" indent="1"/>
    </xf>
    <xf numFmtId="165" fontId="12" fillId="0" borderId="35" xfId="60" applyNumberFormat="1" applyFont="1" applyFill="1" applyBorder="1" applyAlignment="1">
      <alignment vertical="center"/>
    </xf>
    <xf numFmtId="0" fontId="1" fillId="0" borderId="0" xfId="0" applyFont="1" applyFill="1"/>
    <xf numFmtId="3" fontId="9" fillId="0" borderId="30" xfId="0" applyNumberFormat="1" applyFont="1" applyFill="1" applyBorder="1" applyAlignment="1">
      <alignment horizontal="right" indent="1"/>
    </xf>
    <xf numFmtId="3" fontId="9" fillId="0" borderId="53" xfId="0" applyNumberFormat="1" applyFont="1" applyFill="1" applyBorder="1" applyAlignment="1">
      <alignment horizontal="right" indent="1"/>
    </xf>
    <xf numFmtId="165" fontId="12" fillId="0" borderId="31" xfId="60" applyNumberFormat="1" applyFont="1" applyFill="1" applyBorder="1" applyAlignment="1">
      <alignment vertical="center"/>
    </xf>
    <xf numFmtId="3" fontId="68" fillId="0" borderId="21" xfId="0" applyNumberFormat="1" applyFont="1" applyFill="1" applyBorder="1" applyAlignment="1">
      <alignment horizontal="left" vertical="center" wrapText="1"/>
    </xf>
    <xf numFmtId="170" fontId="0" fillId="0" borderId="0" xfId="0" applyNumberFormat="1" applyFill="1"/>
    <xf numFmtId="0" fontId="14" fillId="0" borderId="0" xfId="51" applyFont="1" applyFill="1" applyBorder="1" applyAlignment="1">
      <alignment vertical="center" wrapText="1"/>
    </xf>
    <xf numFmtId="3" fontId="9" fillId="0" borderId="23" xfId="51" applyNumberFormat="1" applyFont="1" applyFill="1" applyBorder="1" applyAlignment="1">
      <alignment horizontal="right" indent="3"/>
    </xf>
    <xf numFmtId="3" fontId="9" fillId="0" borderId="23" xfId="51" applyNumberFormat="1" applyFont="1" applyFill="1" applyBorder="1" applyAlignment="1">
      <alignment horizontal="right" vertical="center" wrapText="1" indent="3"/>
    </xf>
    <xf numFmtId="165" fontId="11" fillId="0" borderId="23" xfId="51" applyNumberFormat="1" applyFont="1" applyFill="1" applyBorder="1" applyAlignment="1">
      <alignment horizontal="right" vertical="center" wrapText="1" indent="2"/>
    </xf>
    <xf numFmtId="3" fontId="8" fillId="0" borderId="23" xfId="51" applyNumberFormat="1" applyFont="1" applyFill="1" applyBorder="1" applyAlignment="1">
      <alignment horizontal="right" vertical="center" wrapText="1" indent="2"/>
    </xf>
    <xf numFmtId="3" fontId="67" fillId="0" borderId="23" xfId="51" applyNumberFormat="1" applyFont="1" applyFill="1" applyBorder="1" applyAlignment="1">
      <alignment horizontal="right" vertical="center" wrapText="1" indent="2"/>
    </xf>
    <xf numFmtId="165" fontId="69" fillId="0" borderId="23" xfId="51" applyNumberFormat="1" applyFont="1" applyFill="1" applyBorder="1" applyAlignment="1">
      <alignment horizontal="right" vertical="center" wrapText="1" indent="2"/>
    </xf>
    <xf numFmtId="3" fontId="8" fillId="0" borderId="37" xfId="51" applyNumberFormat="1" applyFont="1" applyFill="1" applyBorder="1" applyAlignment="1">
      <alignment horizontal="center" vertical="center" wrapText="1"/>
    </xf>
    <xf numFmtId="3" fontId="8" fillId="0" borderId="18" xfId="51" applyNumberFormat="1" applyFont="1" applyFill="1" applyBorder="1" applyAlignment="1">
      <alignment horizontal="center" vertical="center" wrapText="1"/>
    </xf>
    <xf numFmtId="3" fontId="8" fillId="0" borderId="19" xfId="51" applyNumberFormat="1" applyFont="1" applyFill="1" applyBorder="1" applyAlignment="1">
      <alignment horizontal="center" vertical="center" wrapText="1"/>
    </xf>
    <xf numFmtId="3" fontId="8" fillId="0" borderId="20" xfId="51" applyNumberFormat="1" applyFont="1" applyFill="1" applyBorder="1" applyAlignment="1">
      <alignment horizontal="center" vertical="center" wrapText="1"/>
    </xf>
    <xf numFmtId="165" fontId="11" fillId="0" borderId="22" xfId="51" applyNumberFormat="1" applyFont="1" applyFill="1" applyBorder="1" applyAlignment="1">
      <alignment horizontal="right" indent="2"/>
    </xf>
    <xf numFmtId="3" fontId="2" fillId="0" borderId="23" xfId="51" applyNumberFormat="1" applyFont="1" applyFill="1" applyBorder="1" applyAlignment="1">
      <alignment horizontal="center"/>
    </xf>
    <xf numFmtId="165" fontId="4" fillId="0" borderId="22" xfId="51" applyNumberFormat="1" applyFont="1" applyFill="1" applyBorder="1" applyAlignment="1">
      <alignment horizontal="right" indent="2"/>
    </xf>
    <xf numFmtId="3" fontId="70" fillId="0" borderId="18" xfId="51" applyNumberFormat="1" applyFont="1" applyFill="1" applyBorder="1" applyAlignment="1">
      <alignment horizontal="center" vertical="center" wrapText="1"/>
    </xf>
    <xf numFmtId="3" fontId="70" fillId="0" borderId="19" xfId="51" applyNumberFormat="1" applyFont="1" applyFill="1" applyBorder="1" applyAlignment="1">
      <alignment horizontal="center" vertical="center" wrapText="1"/>
    </xf>
    <xf numFmtId="0" fontId="71" fillId="0" borderId="0" xfId="0" applyFont="1"/>
    <xf numFmtId="3" fontId="67" fillId="0" borderId="0" xfId="0" applyNumberFormat="1" applyFont="1" applyFill="1" applyBorder="1" applyAlignment="1">
      <alignment vertical="top" wrapText="1"/>
    </xf>
    <xf numFmtId="3" fontId="67" fillId="0" borderId="0" xfId="51" applyNumberFormat="1" applyFont="1" applyBorder="1" applyAlignment="1">
      <alignment vertical="center" wrapText="1"/>
    </xf>
    <xf numFmtId="3" fontId="67" fillId="0" borderId="0" xfId="48" applyNumberFormat="1" applyFont="1" applyFill="1" applyBorder="1" applyAlignment="1">
      <alignment vertical="center" wrapText="1"/>
    </xf>
    <xf numFmtId="3" fontId="67" fillId="0" borderId="0" xfId="55" applyNumberFormat="1" applyFont="1" applyFill="1" applyBorder="1" applyAlignment="1">
      <alignment vertical="center" wrapText="1"/>
    </xf>
    <xf numFmtId="0" fontId="71" fillId="0" borderId="0" xfId="0" applyFont="1" applyBorder="1" applyAlignment="1"/>
    <xf numFmtId="3" fontId="67" fillId="0" borderId="0" xfId="51" applyNumberFormat="1" applyFont="1" applyBorder="1" applyAlignment="1">
      <alignment vertical="top" wrapText="1"/>
    </xf>
    <xf numFmtId="0" fontId="71" fillId="0" borderId="0" xfId="0" applyFont="1" applyAlignment="1">
      <alignment vertical="top"/>
    </xf>
    <xf numFmtId="0" fontId="71" fillId="0" borderId="0" xfId="0" applyFont="1" applyAlignment="1">
      <alignment vertical="top" wrapText="1"/>
    </xf>
    <xf numFmtId="3" fontId="67" fillId="0" borderId="0" xfId="51" applyNumberFormat="1" applyFont="1" applyFill="1" applyBorder="1" applyAlignment="1">
      <alignment vertical="top" wrapText="1"/>
    </xf>
    <xf numFmtId="0" fontId="67" fillId="0" borderId="0" xfId="51" applyFont="1" applyBorder="1" applyAlignment="1">
      <alignment vertical="top" wrapText="1"/>
    </xf>
    <xf numFmtId="0" fontId="71" fillId="0" borderId="0" xfId="0" applyFont="1" applyBorder="1" applyAlignment="1">
      <alignment vertical="top"/>
    </xf>
    <xf numFmtId="3" fontId="67" fillId="0" borderId="0" xfId="53" applyNumberFormat="1" applyFont="1" applyBorder="1" applyAlignment="1">
      <alignment vertical="top" wrapText="1"/>
    </xf>
    <xf numFmtId="3" fontId="67" fillId="0" borderId="0" xfId="56" applyNumberFormat="1" applyFont="1" applyFill="1" applyBorder="1" applyAlignment="1">
      <alignment vertical="center" wrapText="1"/>
    </xf>
    <xf numFmtId="0" fontId="71" fillId="0" borderId="0" xfId="0" applyFont="1" applyFill="1"/>
    <xf numFmtId="165" fontId="4" fillId="0" borderId="22" xfId="51" applyNumberFormat="1" applyFont="1" applyFill="1" applyBorder="1" applyAlignment="1">
      <alignment horizontal="right" vertical="center" wrapText="1" indent="2"/>
    </xf>
    <xf numFmtId="3" fontId="9" fillId="0" borderId="56" xfId="51" applyNumberFormat="1" applyFont="1" applyFill="1" applyBorder="1" applyAlignment="1">
      <alignment horizontal="right" vertical="center" wrapText="1" indent="3"/>
    </xf>
    <xf numFmtId="165" fontId="11" fillId="0" borderId="56" xfId="51" applyNumberFormat="1" applyFont="1" applyFill="1" applyBorder="1" applyAlignment="1">
      <alignment horizontal="right" vertical="center" wrapText="1" indent="2"/>
    </xf>
    <xf numFmtId="3" fontId="8" fillId="0" borderId="56" xfId="51" applyNumberFormat="1" applyFont="1" applyFill="1" applyBorder="1" applyAlignment="1">
      <alignment horizontal="right" vertical="center" wrapText="1" indent="2"/>
    </xf>
    <xf numFmtId="165" fontId="4" fillId="0" borderId="57" xfId="51" applyNumberFormat="1" applyFont="1" applyFill="1" applyBorder="1" applyAlignment="1">
      <alignment horizontal="right" vertical="center" wrapText="1" indent="2"/>
    </xf>
    <xf numFmtId="3" fontId="9" fillId="0" borderId="27" xfId="51" applyNumberFormat="1" applyFont="1" applyFill="1" applyBorder="1" applyAlignment="1">
      <alignment horizontal="right" vertical="center" wrapText="1" indent="3"/>
    </xf>
    <xf numFmtId="165" fontId="11" fillId="0" borderId="27" xfId="51" applyNumberFormat="1" applyFont="1" applyFill="1" applyBorder="1" applyAlignment="1">
      <alignment horizontal="right" vertical="center" wrapText="1" indent="2"/>
    </xf>
    <xf numFmtId="3" fontId="8" fillId="0" borderId="27" xfId="51" applyNumberFormat="1" applyFont="1" applyFill="1" applyBorder="1" applyAlignment="1">
      <alignment horizontal="right" vertical="center" wrapText="1" indent="2"/>
    </xf>
    <xf numFmtId="165" fontId="4" fillId="0" borderId="25" xfId="51" applyNumberFormat="1" applyFont="1" applyFill="1" applyBorder="1" applyAlignment="1">
      <alignment horizontal="right" vertical="center" wrapText="1" indent="2"/>
    </xf>
    <xf numFmtId="3" fontId="8" fillId="0" borderId="21" xfId="51" applyNumberFormat="1" applyFont="1" applyFill="1" applyBorder="1" applyAlignment="1">
      <alignment vertical="center" wrapText="1"/>
    </xf>
    <xf numFmtId="3" fontId="8" fillId="0" borderId="18" xfId="51" applyNumberFormat="1" applyFont="1" applyFill="1" applyBorder="1" applyAlignment="1">
      <alignment horizontal="right" vertical="center" wrapText="1" indent="3"/>
    </xf>
    <xf numFmtId="165" fontId="12" fillId="0" borderId="18" xfId="51" applyNumberFormat="1" applyFont="1" applyFill="1" applyBorder="1" applyAlignment="1">
      <alignment horizontal="right" vertical="center" wrapText="1" indent="2"/>
    </xf>
    <xf numFmtId="3" fontId="2" fillId="0" borderId="18" xfId="51" applyNumberFormat="1" applyFont="1" applyFill="1" applyBorder="1" applyAlignment="1">
      <alignment horizontal="right" vertical="center" wrapText="1" indent="2"/>
    </xf>
    <xf numFmtId="3" fontId="8" fillId="0" borderId="18" xfId="51" applyNumberFormat="1" applyFont="1" applyFill="1" applyBorder="1" applyAlignment="1">
      <alignment horizontal="right" vertical="center" wrapText="1" indent="2"/>
    </xf>
    <xf numFmtId="165" fontId="3" fillId="0" borderId="19" xfId="51" applyNumberFormat="1" applyFont="1" applyFill="1" applyBorder="1" applyAlignment="1">
      <alignment horizontal="right" vertical="center" wrapText="1" indent="2"/>
    </xf>
    <xf numFmtId="0" fontId="2" fillId="0" borderId="29" xfId="0" applyFont="1" applyFill="1" applyBorder="1" applyAlignment="1">
      <alignment horizontal="center"/>
    </xf>
    <xf numFmtId="3" fontId="9" fillId="0" borderId="58" xfId="51" applyNumberFormat="1" applyFont="1" applyFill="1" applyBorder="1" applyAlignment="1">
      <alignment horizontal="right" indent="3"/>
    </xf>
    <xf numFmtId="3" fontId="9" fillId="0" borderId="13" xfId="51" applyNumberFormat="1" applyFont="1" applyFill="1" applyBorder="1" applyAlignment="1">
      <alignment horizontal="right" indent="3"/>
    </xf>
    <xf numFmtId="3" fontId="9" fillId="0" borderId="26" xfId="51" applyNumberFormat="1" applyFont="1" applyFill="1" applyBorder="1" applyAlignment="1">
      <alignment horizontal="right" indent="3"/>
    </xf>
    <xf numFmtId="3" fontId="8" fillId="0" borderId="59" xfId="51" applyNumberFormat="1" applyFont="1" applyFill="1" applyBorder="1" applyAlignment="1">
      <alignment vertical="center" wrapText="1"/>
    </xf>
    <xf numFmtId="3" fontId="8" fillId="0" borderId="15" xfId="51" applyNumberFormat="1" applyFont="1" applyFill="1" applyBorder="1" applyAlignment="1">
      <alignment vertical="center" wrapText="1"/>
    </xf>
    <xf numFmtId="3" fontId="8" fillId="0" borderId="16" xfId="51" applyNumberFormat="1" applyFont="1" applyFill="1" applyBorder="1" applyAlignment="1">
      <alignment vertical="center" wrapText="1"/>
    </xf>
    <xf numFmtId="3" fontId="67" fillId="0" borderId="13" xfId="51" applyNumberFormat="1" applyFont="1" applyFill="1" applyBorder="1" applyAlignment="1">
      <alignment horizontal="right" vertical="center" wrapText="1" indent="2"/>
    </xf>
    <xf numFmtId="3" fontId="67" fillId="0" borderId="58" xfId="51" applyNumberFormat="1" applyFont="1" applyFill="1" applyBorder="1" applyAlignment="1">
      <alignment horizontal="right" vertical="center" wrapText="1" indent="2"/>
    </xf>
    <xf numFmtId="165" fontId="69" fillId="0" borderId="56" xfId="51" applyNumberFormat="1" applyFont="1" applyFill="1" applyBorder="1" applyAlignment="1">
      <alignment horizontal="right" vertical="center" wrapText="1" indent="2"/>
    </xf>
    <xf numFmtId="3" fontId="67" fillId="0" borderId="56" xfId="51" applyNumberFormat="1" applyFont="1" applyFill="1" applyBorder="1" applyAlignment="1">
      <alignment horizontal="right" vertical="center" wrapText="1" indent="2"/>
    </xf>
    <xf numFmtId="0" fontId="70" fillId="0" borderId="37" xfId="51" applyFont="1" applyFill="1" applyBorder="1" applyAlignment="1">
      <alignment horizontal="center" vertical="center" wrapText="1"/>
    </xf>
    <xf numFmtId="0" fontId="70" fillId="0" borderId="20" xfId="51" applyFont="1" applyFill="1" applyBorder="1" applyAlignment="1">
      <alignment horizontal="center" vertical="center" wrapText="1"/>
    </xf>
    <xf numFmtId="0" fontId="70" fillId="0" borderId="18" xfId="51" applyFont="1" applyFill="1" applyBorder="1" applyAlignment="1">
      <alignment horizontal="center" vertical="center" wrapText="1"/>
    </xf>
    <xf numFmtId="165" fontId="69" fillId="0" borderId="57" xfId="51" applyNumberFormat="1" applyFont="1" applyFill="1" applyBorder="1" applyAlignment="1">
      <alignment horizontal="right" vertical="center" wrapText="1" indent="2"/>
    </xf>
    <xf numFmtId="165" fontId="69" fillId="0" borderId="22" xfId="51" applyNumberFormat="1" applyFont="1" applyFill="1" applyBorder="1" applyAlignment="1">
      <alignment horizontal="right" vertical="center" wrapText="1" indent="2"/>
    </xf>
    <xf numFmtId="3" fontId="67" fillId="0" borderId="26" xfId="51" applyNumberFormat="1" applyFont="1" applyFill="1" applyBorder="1" applyAlignment="1">
      <alignment horizontal="right" vertical="center" wrapText="1" indent="2"/>
    </xf>
    <xf numFmtId="165" fontId="69" fillId="0" borderId="27" xfId="51" applyNumberFormat="1" applyFont="1" applyFill="1" applyBorder="1" applyAlignment="1">
      <alignment horizontal="right" vertical="center" wrapText="1" indent="2"/>
    </xf>
    <xf numFmtId="3" fontId="67" fillId="0" borderId="27" xfId="51" applyNumberFormat="1" applyFont="1" applyFill="1" applyBorder="1" applyAlignment="1">
      <alignment horizontal="right" vertical="center" wrapText="1" indent="2"/>
    </xf>
    <xf numFmtId="165" fontId="69" fillId="0" borderId="25" xfId="51" applyNumberFormat="1" applyFont="1" applyFill="1" applyBorder="1" applyAlignment="1">
      <alignment horizontal="right" vertical="center" wrapText="1" indent="2"/>
    </xf>
    <xf numFmtId="1" fontId="70" fillId="0" borderId="37" xfId="51" applyNumberFormat="1" applyFont="1" applyFill="1" applyBorder="1" applyAlignment="1">
      <alignment horizontal="left" vertical="center" wrapText="1" indent="1"/>
    </xf>
    <xf numFmtId="3" fontId="70" fillId="0" borderId="20" xfId="51" applyNumberFormat="1" applyFont="1" applyFill="1" applyBorder="1" applyAlignment="1">
      <alignment horizontal="right" vertical="center" wrapText="1" indent="2"/>
    </xf>
    <xf numFmtId="9" fontId="70" fillId="0" borderId="18" xfId="51" applyNumberFormat="1" applyFont="1" applyFill="1" applyBorder="1" applyAlignment="1">
      <alignment horizontal="right" vertical="center" wrapText="1" indent="2"/>
    </xf>
    <xf numFmtId="3" fontId="70" fillId="0" borderId="18" xfId="51" applyNumberFormat="1" applyFont="1" applyFill="1" applyBorder="1" applyAlignment="1">
      <alignment horizontal="right" vertical="center" wrapText="1" indent="2"/>
    </xf>
    <xf numFmtId="9" fontId="70" fillId="0" borderId="19" xfId="51" applyNumberFormat="1" applyFont="1" applyFill="1" applyBorder="1" applyAlignment="1">
      <alignment horizontal="right" vertical="center" wrapText="1" indent="2"/>
    </xf>
    <xf numFmtId="3" fontId="9" fillId="0" borderId="23" xfId="43" applyNumberFormat="1" applyFont="1" applyFill="1" applyBorder="1" applyAlignment="1">
      <alignment horizontal="center"/>
    </xf>
    <xf numFmtId="3" fontId="9" fillId="0" borderId="13" xfId="43" applyNumberFormat="1" applyFont="1" applyFill="1" applyBorder="1" applyAlignment="1">
      <alignment horizontal="center"/>
    </xf>
    <xf numFmtId="168" fontId="69" fillId="0" borderId="60" xfId="0" applyNumberFormat="1" applyFont="1" applyFill="1" applyBorder="1" applyAlignment="1">
      <alignment horizontal="center" vertical="center" wrapText="1"/>
    </xf>
    <xf numFmtId="4" fontId="69" fillId="0" borderId="60" xfId="0" applyNumberFormat="1" applyFont="1" applyBorder="1" applyAlignment="1">
      <alignment horizontal="center" vertical="center" wrapText="1"/>
    </xf>
    <xf numFmtId="3" fontId="69" fillId="0" borderId="61" xfId="0" applyNumberFormat="1" applyFont="1" applyFill="1" applyBorder="1" applyAlignment="1">
      <alignment horizontal="center" vertical="center" wrapText="1"/>
    </xf>
    <xf numFmtId="4" fontId="69" fillId="0" borderId="62" xfId="0" applyNumberFormat="1" applyFont="1" applyBorder="1" applyAlignment="1">
      <alignment horizontal="center" vertical="center" wrapText="1"/>
    </xf>
    <xf numFmtId="0" fontId="4" fillId="0" borderId="63" xfId="0" applyFont="1" applyFill="1" applyBorder="1"/>
    <xf numFmtId="0" fontId="67" fillId="0" borderId="0" xfId="0" applyFont="1" applyAlignment="1">
      <alignment vertical="top"/>
    </xf>
    <xf numFmtId="0" fontId="8" fillId="0" borderId="64" xfId="0" applyFont="1" applyFill="1" applyBorder="1" applyAlignment="1">
      <alignment horizontal="center" vertical="center"/>
    </xf>
    <xf numFmtId="3" fontId="0" fillId="0" borderId="17" xfId="0" applyNumberFormat="1" applyFont="1" applyFill="1" applyBorder="1"/>
    <xf numFmtId="3" fontId="3" fillId="0" borderId="21" xfId="0" applyNumberFormat="1" applyFont="1" applyFill="1" applyBorder="1"/>
    <xf numFmtId="0" fontId="0" fillId="0" borderId="23" xfId="0" applyNumberFormat="1" applyFill="1" applyBorder="1"/>
    <xf numFmtId="10" fontId="48" fillId="0" borderId="42" xfId="0" applyNumberFormat="1" applyFont="1" applyFill="1" applyBorder="1" applyAlignment="1">
      <alignment horizontal="right"/>
    </xf>
    <xf numFmtId="10" fontId="48" fillId="0" borderId="65" xfId="0" applyNumberFormat="1" applyFont="1" applyFill="1" applyBorder="1" applyAlignment="1">
      <alignment horizontal="right"/>
    </xf>
    <xf numFmtId="10" fontId="48" fillId="0" borderId="43" xfId="0" applyNumberFormat="1" applyFont="1" applyFill="1" applyBorder="1" applyAlignment="1">
      <alignment horizontal="right"/>
    </xf>
    <xf numFmtId="10" fontId="48" fillId="0" borderId="66" xfId="0" applyNumberFormat="1" applyFont="1" applyFill="1" applyBorder="1" applyAlignment="1">
      <alignment horizontal="right"/>
    </xf>
    <xf numFmtId="10" fontId="48" fillId="0" borderId="48" xfId="0" applyNumberFormat="1" applyFont="1" applyFill="1" applyBorder="1" applyAlignment="1">
      <alignment horizontal="right"/>
    </xf>
    <xf numFmtId="0" fontId="8" fillId="0" borderId="37" xfId="0" applyFont="1" applyFill="1" applyBorder="1" applyAlignment="1">
      <alignment horizontal="left" vertical="center" indent="1"/>
    </xf>
    <xf numFmtId="3" fontId="9" fillId="0" borderId="0" xfId="0" applyNumberFormat="1" applyFont="1" applyFill="1" applyBorder="1"/>
    <xf numFmtId="0" fontId="1" fillId="0" borderId="39" xfId="0" applyFont="1" applyFill="1" applyBorder="1" applyAlignment="1">
      <alignment horizontal="center"/>
    </xf>
    <xf numFmtId="165" fontId="0" fillId="0" borderId="0" xfId="0" applyNumberFormat="1" applyFill="1"/>
    <xf numFmtId="3" fontId="9" fillId="0" borderId="39" xfId="0" applyNumberFormat="1" applyFont="1" applyFill="1" applyBorder="1" applyAlignment="1">
      <alignment horizontal="right" indent="1"/>
    </xf>
    <xf numFmtId="3" fontId="9" fillId="0" borderId="54" xfId="0" applyNumberFormat="1" applyFont="1" applyFill="1" applyBorder="1" applyAlignment="1">
      <alignment horizontal="right" indent="1"/>
    </xf>
    <xf numFmtId="0" fontId="1" fillId="35" borderId="0" xfId="0" applyFont="1" applyFill="1"/>
    <xf numFmtId="4" fontId="9" fillId="0" borderId="53" xfId="0" applyNumberFormat="1" applyFont="1" applyBorder="1" applyAlignment="1">
      <alignment vertical="center" wrapText="1"/>
    </xf>
    <xf numFmtId="168" fontId="9" fillId="0" borderId="53" xfId="0" applyNumberFormat="1" applyFont="1" applyBorder="1" applyAlignment="1">
      <alignment vertical="center" wrapText="1"/>
    </xf>
    <xf numFmtId="4" fontId="9" fillId="0" borderId="31" xfId="0" applyNumberFormat="1" applyFont="1" applyBorder="1" applyAlignment="1">
      <alignment vertical="center" wrapText="1"/>
    </xf>
    <xf numFmtId="4" fontId="9" fillId="0" borderId="23" xfId="0" applyNumberFormat="1" applyFont="1" applyBorder="1" applyAlignment="1">
      <alignment vertical="center" wrapText="1"/>
    </xf>
    <xf numFmtId="168" fontId="9" fillId="0" borderId="23" xfId="0" applyNumberFormat="1" applyFont="1" applyBorder="1" applyAlignment="1">
      <alignment vertical="center" wrapText="1"/>
    </xf>
    <xf numFmtId="4" fontId="9" fillId="0" borderId="22" xfId="0" applyNumberFormat="1" applyFont="1" applyBorder="1" applyAlignment="1">
      <alignment vertical="center" wrapText="1"/>
    </xf>
    <xf numFmtId="49" fontId="9" fillId="0" borderId="23" xfId="0" applyNumberFormat="1" applyFont="1" applyBorder="1" applyAlignment="1">
      <alignment horizontal="right" vertical="center" wrapText="1"/>
    </xf>
    <xf numFmtId="4" fontId="9" fillId="0" borderId="55" xfId="0" applyNumberFormat="1" applyFont="1" applyBorder="1" applyAlignment="1">
      <alignment vertical="center" wrapText="1"/>
    </xf>
    <xf numFmtId="168" fontId="9" fillId="0" borderId="55" xfId="0" applyNumberFormat="1" applyFont="1" applyBorder="1" applyAlignment="1">
      <alignment vertical="center" wrapText="1"/>
    </xf>
    <xf numFmtId="4" fontId="9" fillId="0" borderId="35" xfId="0" applyNumberFormat="1" applyFont="1" applyBorder="1" applyAlignment="1">
      <alignment vertical="center" wrapText="1"/>
    </xf>
    <xf numFmtId="168" fontId="12" fillId="0" borderId="18" xfId="0" applyNumberFormat="1" applyFont="1" applyFill="1" applyBorder="1" applyAlignment="1">
      <alignment vertical="center" wrapText="1"/>
    </xf>
    <xf numFmtId="4" fontId="12" fillId="0" borderId="18" xfId="0" applyNumberFormat="1" applyFont="1" applyBorder="1" applyAlignment="1">
      <alignment vertical="center" wrapText="1"/>
    </xf>
    <xf numFmtId="168" fontId="12" fillId="0" borderId="18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0" fontId="0" fillId="0" borderId="0" xfId="0" applyNumberFormat="1" applyFill="1" applyBorder="1"/>
    <xf numFmtId="3" fontId="0" fillId="0" borderId="0" xfId="0" applyNumberFormat="1" applyFill="1" applyBorder="1"/>
    <xf numFmtId="3" fontId="0" fillId="0" borderId="53" xfId="0" applyNumberFormat="1" applyFill="1" applyBorder="1"/>
    <xf numFmtId="3" fontId="0" fillId="0" borderId="23" xfId="0" applyNumberFormat="1" applyFill="1" applyBorder="1"/>
    <xf numFmtId="3" fontId="0" fillId="0" borderId="55" xfId="0" applyNumberFormat="1" applyFill="1" applyBorder="1"/>
    <xf numFmtId="1" fontId="2" fillId="0" borderId="42" xfId="27" applyNumberFormat="1" applyFont="1" applyFill="1" applyBorder="1"/>
    <xf numFmtId="10" fontId="4" fillId="0" borderId="23" xfId="0" applyNumberFormat="1" applyFont="1" applyFill="1" applyBorder="1"/>
    <xf numFmtId="10" fontId="4" fillId="0" borderId="47" xfId="0" applyNumberFormat="1" applyFont="1" applyFill="1" applyBorder="1"/>
    <xf numFmtId="10" fontId="3" fillId="0" borderId="51" xfId="0" applyNumberFormat="1" applyFont="1" applyFill="1" applyBorder="1"/>
    <xf numFmtId="3" fontId="1" fillId="0" borderId="0" xfId="0" applyNumberFormat="1" applyFont="1" applyFill="1"/>
    <xf numFmtId="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58" xfId="0" applyFill="1" applyBorder="1" applyAlignment="1">
      <alignment vertical="center"/>
    </xf>
    <xf numFmtId="10" fontId="0" fillId="0" borderId="56" xfId="60" applyNumberFormat="1" applyFont="1" applyFill="1" applyBorder="1" applyAlignment="1">
      <alignment vertical="center"/>
    </xf>
    <xf numFmtId="10" fontId="0" fillId="0" borderId="57" xfId="60" applyNumberFormat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0" fontId="0" fillId="0" borderId="23" xfId="60" applyNumberFormat="1" applyFont="1" applyFill="1" applyBorder="1" applyAlignment="1">
      <alignment vertical="center"/>
    </xf>
    <xf numFmtId="10" fontId="0" fillId="0" borderId="22" xfId="60" applyNumberFormat="1" applyFont="1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10" fontId="0" fillId="0" borderId="27" xfId="60" applyNumberFormat="1" applyFont="1" applyFill="1" applyBorder="1" applyAlignment="1">
      <alignment vertical="center"/>
    </xf>
    <xf numFmtId="10" fontId="0" fillId="0" borderId="25" xfId="60" applyNumberFormat="1" applyFont="1" applyFill="1" applyBorder="1" applyAlignment="1">
      <alignment vertical="center"/>
    </xf>
    <xf numFmtId="0" fontId="61" fillId="0" borderId="20" xfId="0" applyFont="1" applyFill="1" applyBorder="1" applyAlignment="1">
      <alignment vertical="center"/>
    </xf>
    <xf numFmtId="10" fontId="61" fillId="0" borderId="18" xfId="60" applyNumberFormat="1" applyFont="1" applyFill="1" applyBorder="1" applyAlignment="1">
      <alignment vertical="center"/>
    </xf>
    <xf numFmtId="10" fontId="61" fillId="0" borderId="19" xfId="60" applyNumberFormat="1" applyFont="1" applyFill="1" applyBorder="1" applyAlignment="1">
      <alignment vertical="center"/>
    </xf>
    <xf numFmtId="0" fontId="61" fillId="0" borderId="37" xfId="0" applyFont="1" applyFill="1" applyBorder="1" applyAlignment="1">
      <alignment horizontal="left" vertical="center"/>
    </xf>
    <xf numFmtId="3" fontId="1" fillId="0" borderId="56" xfId="51" applyNumberFormat="1" applyFont="1" applyFill="1" applyBorder="1" applyAlignment="1">
      <alignment horizontal="right" vertical="center" wrapText="1" indent="2"/>
    </xf>
    <xf numFmtId="3" fontId="1" fillId="0" borderId="23" xfId="51" applyNumberFormat="1" applyFont="1" applyFill="1" applyBorder="1" applyAlignment="1">
      <alignment horizontal="right" vertical="center" wrapText="1" indent="2"/>
    </xf>
    <xf numFmtId="3" fontId="1" fillId="0" borderId="27" xfId="51" applyNumberFormat="1" applyFont="1" applyFill="1" applyBorder="1" applyAlignment="1">
      <alignment horizontal="right" vertical="center" wrapText="1" indent="2"/>
    </xf>
    <xf numFmtId="3" fontId="14" fillId="0" borderId="0" xfId="51" applyNumberFormat="1" applyFont="1" applyFill="1" applyBorder="1" applyAlignment="1">
      <alignment vertical="center" wrapText="1"/>
    </xf>
    <xf numFmtId="174" fontId="14" fillId="0" borderId="0" xfId="51" applyNumberFormat="1" applyFont="1" applyBorder="1" applyAlignment="1">
      <alignment vertical="center" wrapText="1"/>
    </xf>
    <xf numFmtId="9" fontId="14" fillId="0" borderId="0" xfId="51" applyNumberFormat="1" applyFont="1" applyBorder="1" applyAlignment="1">
      <alignment vertical="center" wrapText="1"/>
    </xf>
    <xf numFmtId="3" fontId="8" fillId="0" borderId="29" xfId="51" applyNumberFormat="1" applyFont="1" applyFill="1" applyBorder="1" applyAlignment="1"/>
    <xf numFmtId="0" fontId="9" fillId="0" borderId="41" xfId="51" applyFont="1" applyFill="1" applyBorder="1" applyAlignment="1">
      <alignment horizontal="right" indent="4"/>
    </xf>
    <xf numFmtId="3" fontId="9" fillId="0" borderId="53" xfId="43" applyNumberFormat="1" applyFont="1" applyFill="1" applyBorder="1" applyAlignment="1">
      <alignment horizontal="center"/>
    </xf>
    <xf numFmtId="3" fontId="9" fillId="0" borderId="53" xfId="51" applyNumberFormat="1" applyFont="1" applyFill="1" applyBorder="1" applyAlignment="1">
      <alignment horizontal="right" indent="3"/>
    </xf>
    <xf numFmtId="165" fontId="11" fillId="0" borderId="31" xfId="51" applyNumberFormat="1" applyFont="1" applyFill="1" applyBorder="1" applyAlignment="1">
      <alignment horizontal="right" indent="2"/>
    </xf>
    <xf numFmtId="3" fontId="9" fillId="0" borderId="41" xfId="43" applyNumberFormat="1" applyFont="1" applyFill="1" applyBorder="1" applyAlignment="1">
      <alignment horizontal="center"/>
    </xf>
    <xf numFmtId="3" fontId="2" fillId="0" borderId="53" xfId="51" applyNumberFormat="1" applyFont="1" applyFill="1" applyBorder="1" applyAlignment="1">
      <alignment horizontal="center"/>
    </xf>
    <xf numFmtId="165" fontId="4" fillId="0" borderId="31" xfId="51" applyNumberFormat="1" applyFont="1" applyFill="1" applyBorder="1" applyAlignment="1">
      <alignment horizontal="right" indent="2"/>
    </xf>
    <xf numFmtId="0" fontId="8" fillId="0" borderId="15" xfId="51" applyNumberFormat="1" applyFont="1" applyFill="1" applyBorder="1" applyAlignment="1">
      <alignment vertical="top" wrapText="1"/>
    </xf>
    <xf numFmtId="0" fontId="9" fillId="0" borderId="13" xfId="51" applyFont="1" applyFill="1" applyBorder="1" applyAlignment="1">
      <alignment horizontal="right" indent="4"/>
    </xf>
    <xf numFmtId="3" fontId="8" fillId="0" borderId="15" xfId="51" applyNumberFormat="1" applyFont="1" applyFill="1" applyBorder="1" applyAlignment="1"/>
    <xf numFmtId="0" fontId="9" fillId="0" borderId="14" xfId="51" applyFont="1" applyFill="1" applyBorder="1" applyAlignment="1">
      <alignment horizontal="right" indent="4"/>
    </xf>
    <xf numFmtId="3" fontId="9" fillId="0" borderId="55" xfId="43" applyNumberFormat="1" applyFont="1" applyFill="1" applyBorder="1" applyAlignment="1">
      <alignment horizontal="center"/>
    </xf>
    <xf numFmtId="3" fontId="9" fillId="0" borderId="55" xfId="51" applyNumberFormat="1" applyFont="1" applyFill="1" applyBorder="1" applyAlignment="1">
      <alignment horizontal="right" indent="3"/>
    </xf>
    <xf numFmtId="165" fontId="11" fillId="0" borderId="35" xfId="51" applyNumberFormat="1" applyFont="1" applyFill="1" applyBorder="1" applyAlignment="1">
      <alignment horizontal="right" indent="2"/>
    </xf>
    <xf numFmtId="3" fontId="9" fillId="0" borderId="14" xfId="43" applyNumberFormat="1" applyFont="1" applyFill="1" applyBorder="1" applyAlignment="1">
      <alignment horizontal="center"/>
    </xf>
    <xf numFmtId="3" fontId="2" fillId="0" borderId="55" xfId="51" applyNumberFormat="1" applyFont="1" applyFill="1" applyBorder="1" applyAlignment="1">
      <alignment horizontal="center"/>
    </xf>
    <xf numFmtId="165" fontId="4" fillId="0" borderId="35" xfId="51" applyNumberFormat="1" applyFont="1" applyFill="1" applyBorder="1" applyAlignment="1">
      <alignment horizontal="right" indent="2"/>
    </xf>
    <xf numFmtId="0" fontId="8" fillId="0" borderId="48" xfId="51" applyFont="1" applyFill="1" applyBorder="1" applyAlignment="1">
      <alignment horizontal="left" indent="1"/>
    </xf>
    <xf numFmtId="0" fontId="8" fillId="0" borderId="66" xfId="51" applyFont="1" applyFill="1" applyBorder="1" applyAlignment="1">
      <alignment horizontal="center"/>
    </xf>
    <xf numFmtId="0" fontId="8" fillId="0" borderId="42" xfId="51" applyFont="1" applyFill="1" applyBorder="1" applyAlignment="1">
      <alignment horizontal="center"/>
    </xf>
    <xf numFmtId="165" fontId="12" fillId="0" borderId="43" xfId="51" applyNumberFormat="1" applyFont="1" applyFill="1" applyBorder="1" applyAlignment="1">
      <alignment horizontal="right" indent="2"/>
    </xf>
    <xf numFmtId="3" fontId="70" fillId="0" borderId="66" xfId="0" applyNumberFormat="1" applyFont="1" applyFill="1" applyBorder="1" applyAlignment="1">
      <alignment horizontal="center"/>
    </xf>
    <xf numFmtId="3" fontId="8" fillId="0" borderId="67" xfId="51" applyNumberFormat="1" applyFont="1" applyFill="1" applyBorder="1" applyAlignment="1">
      <alignment horizontal="center"/>
    </xf>
    <xf numFmtId="165" fontId="3" fillId="0" borderId="43" xfId="51" applyNumberFormat="1" applyFont="1" applyFill="1" applyBorder="1" applyAlignment="1">
      <alignment horizontal="right" indent="2"/>
    </xf>
    <xf numFmtId="0" fontId="55" fillId="0" borderId="0" xfId="51" applyFont="1" applyFill="1"/>
    <xf numFmtId="0" fontId="14" fillId="0" borderId="0" xfId="51" applyFont="1" applyFill="1"/>
    <xf numFmtId="3" fontId="51" fillId="0" borderId="0" xfId="55" applyNumberFormat="1" applyFont="1" applyBorder="1" applyAlignment="1">
      <alignment horizontal="left" vertical="center" wrapText="1"/>
    </xf>
    <xf numFmtId="3" fontId="52" fillId="0" borderId="0" xfId="55" applyNumberFormat="1" applyFont="1" applyBorder="1" applyAlignment="1">
      <alignment horizontal="center" vertical="center" wrapText="1"/>
    </xf>
    <xf numFmtId="3" fontId="50" fillId="0" borderId="0" xfId="55" applyNumberFormat="1" applyFont="1" applyBorder="1" applyAlignment="1">
      <alignment horizontal="left" vertical="center" wrapText="1"/>
    </xf>
    <xf numFmtId="3" fontId="59" fillId="0" borderId="0" xfId="55" applyNumberFormat="1" applyFont="1" applyBorder="1" applyAlignment="1">
      <alignment horizontal="right" vertical="center"/>
    </xf>
    <xf numFmtId="3" fontId="14" fillId="0" borderId="0" xfId="48" applyNumberFormat="1" applyFont="1" applyAlignment="1">
      <alignment vertical="center" wrapText="1"/>
    </xf>
    <xf numFmtId="3" fontId="49" fillId="0" borderId="0" xfId="48" applyNumberFormat="1" applyFont="1" applyAlignment="1">
      <alignment vertical="center" wrapText="1"/>
    </xf>
    <xf numFmtId="0" fontId="14" fillId="0" borderId="0" xfId="48" applyFont="1" applyAlignment="1">
      <alignment vertical="center" wrapText="1"/>
    </xf>
    <xf numFmtId="0" fontId="50" fillId="0" borderId="0" xfId="48" applyFont="1" applyAlignment="1">
      <alignment horizontal="center" vertical="center" wrapText="1"/>
    </xf>
    <xf numFmtId="0" fontId="29" fillId="0" borderId="0" xfId="48" applyFont="1" applyAlignment="1">
      <alignment vertical="center" wrapText="1"/>
    </xf>
    <xf numFmtId="165" fontId="54" fillId="0" borderId="0" xfId="48" applyNumberFormat="1" applyFont="1" applyAlignment="1">
      <alignment horizontal="center" vertical="center" wrapText="1"/>
    </xf>
    <xf numFmtId="0" fontId="54" fillId="0" borderId="0" xfId="48" applyFont="1" applyAlignment="1">
      <alignment vertical="center" wrapText="1"/>
    </xf>
    <xf numFmtId="10" fontId="14" fillId="0" borderId="0" xfId="60" applyNumberFormat="1" applyFont="1" applyFill="1" applyAlignment="1">
      <alignment horizontal="right" vertical="center" wrapText="1" indent="1"/>
    </xf>
    <xf numFmtId="0" fontId="29" fillId="0" borderId="0" xfId="49"/>
    <xf numFmtId="0" fontId="14" fillId="0" borderId="0" xfId="56" applyFont="1" applyFill="1" applyAlignment="1">
      <alignment vertical="center" wrapText="1"/>
    </xf>
    <xf numFmtId="0" fontId="50" fillId="0" borderId="0" xfId="56" applyFont="1" applyFill="1" applyAlignment="1">
      <alignment horizontal="center" vertical="center" wrapText="1"/>
    </xf>
    <xf numFmtId="165" fontId="14" fillId="0" borderId="0" xfId="60" applyNumberFormat="1" applyFont="1" applyFill="1" applyAlignment="1">
      <alignment vertical="center" wrapText="1"/>
    </xf>
    <xf numFmtId="3" fontId="49" fillId="0" borderId="0" xfId="48" applyNumberFormat="1" applyFont="1" applyFill="1" applyAlignment="1">
      <alignment vertical="center" wrapText="1"/>
    </xf>
    <xf numFmtId="0" fontId="14" fillId="0" borderId="0" xfId="48" applyFont="1" applyFill="1" applyAlignment="1">
      <alignment vertical="center" wrapText="1"/>
    </xf>
    <xf numFmtId="0" fontId="50" fillId="0" borderId="0" xfId="48" applyFont="1" applyFill="1" applyAlignment="1">
      <alignment horizontal="center" vertical="center" wrapText="1"/>
    </xf>
    <xf numFmtId="165" fontId="14" fillId="0" borderId="0" xfId="48" applyNumberFormat="1" applyFont="1" applyFill="1" applyAlignment="1">
      <alignment vertical="center" wrapText="1"/>
    </xf>
    <xf numFmtId="165" fontId="14" fillId="0" borderId="0" xfId="60" applyNumberFormat="1" applyFont="1" applyFill="1" applyAlignment="1">
      <alignment horizontal="right" vertical="center" wrapText="1" indent="1"/>
    </xf>
    <xf numFmtId="3" fontId="49" fillId="0" borderId="0" xfId="56" applyNumberFormat="1" applyFont="1" applyFill="1" applyAlignment="1">
      <alignment vertical="center" wrapText="1"/>
    </xf>
    <xf numFmtId="0" fontId="54" fillId="0" borderId="0" xfId="56" applyFont="1" applyFill="1" applyAlignment="1">
      <alignment vertical="center" wrapText="1"/>
    </xf>
    <xf numFmtId="169" fontId="14" fillId="0" borderId="0" xfId="56" applyNumberFormat="1" applyFont="1" applyFill="1" applyAlignment="1">
      <alignment vertical="center" wrapText="1"/>
    </xf>
    <xf numFmtId="3" fontId="14" fillId="0" borderId="0" xfId="48" applyNumberFormat="1" applyFont="1" applyFill="1" applyAlignment="1">
      <alignment horizontal="center" vertical="center" wrapText="1"/>
    </xf>
    <xf numFmtId="3" fontId="14" fillId="0" borderId="0" xfId="27" applyNumberFormat="1" applyFont="1" applyFill="1" applyAlignment="1">
      <alignment vertical="center" wrapText="1"/>
    </xf>
    <xf numFmtId="3" fontId="14" fillId="0" borderId="0" xfId="48" applyNumberFormat="1" applyFont="1" applyFill="1" applyAlignment="1">
      <alignment horizontal="left" vertical="center" wrapText="1"/>
    </xf>
    <xf numFmtId="3" fontId="49" fillId="0" borderId="0" xfId="49" applyNumberFormat="1" applyFont="1" applyFill="1" applyBorder="1" applyAlignment="1">
      <alignment horizontal="center" vertical="center" wrapText="1"/>
    </xf>
    <xf numFmtId="3" fontId="49" fillId="0" borderId="0" xfId="49" applyNumberFormat="1" applyFont="1" applyFill="1" applyAlignment="1">
      <alignment horizontal="center" vertical="center" wrapText="1"/>
    </xf>
    <xf numFmtId="0" fontId="14" fillId="0" borderId="0" xfId="49" applyFont="1" applyFill="1" applyAlignment="1">
      <alignment vertical="center" wrapText="1"/>
    </xf>
    <xf numFmtId="0" fontId="50" fillId="0" borderId="0" xfId="49" applyFont="1" applyFill="1" applyAlignment="1">
      <alignment horizontal="center" vertical="center" wrapText="1"/>
    </xf>
    <xf numFmtId="3" fontId="14" fillId="0" borderId="0" xfId="49" applyNumberFormat="1" applyFont="1" applyFill="1" applyAlignment="1">
      <alignment vertical="center" wrapText="1"/>
    </xf>
    <xf numFmtId="0" fontId="66" fillId="0" borderId="0" xfId="47" applyFill="1"/>
    <xf numFmtId="0" fontId="72" fillId="0" borderId="0" xfId="47" applyFont="1" applyFill="1"/>
    <xf numFmtId="0" fontId="66" fillId="0" borderId="0" xfId="47" applyFill="1" applyAlignment="1">
      <alignment horizontal="left"/>
    </xf>
    <xf numFmtId="0" fontId="2" fillId="0" borderId="3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indent="2"/>
    </xf>
    <xf numFmtId="10" fontId="4" fillId="0" borderId="0" xfId="0" applyNumberFormat="1" applyFont="1" applyFill="1" applyBorder="1"/>
    <xf numFmtId="3" fontId="0" fillId="0" borderId="0" xfId="0" applyNumberFormat="1" applyFont="1" applyFill="1" applyBorder="1"/>
    <xf numFmtId="0" fontId="0" fillId="0" borderId="29" xfId="0" applyFill="1" applyBorder="1" applyAlignment="1">
      <alignment horizontal="left" indent="2"/>
    </xf>
    <xf numFmtId="3" fontId="9" fillId="0" borderId="41" xfId="0" applyNumberFormat="1" applyFont="1" applyFill="1" applyBorder="1"/>
    <xf numFmtId="10" fontId="11" fillId="0" borderId="31" xfId="0" applyNumberFormat="1" applyFont="1" applyFill="1" applyBorder="1"/>
    <xf numFmtId="10" fontId="4" fillId="0" borderId="46" xfId="0" applyNumberFormat="1" applyFont="1" applyFill="1" applyBorder="1"/>
    <xf numFmtId="3" fontId="0" fillId="0" borderId="30" xfId="0" applyNumberFormat="1" applyFont="1" applyFill="1" applyBorder="1"/>
    <xf numFmtId="10" fontId="4" fillId="0" borderId="31" xfId="0" applyNumberFormat="1" applyFont="1" applyFill="1" applyBorder="1"/>
    <xf numFmtId="10" fontId="0" fillId="0" borderId="22" xfId="0" applyNumberFormat="1" applyFill="1" applyBorder="1"/>
    <xf numFmtId="3" fontId="9" fillId="0" borderId="14" xfId="0" applyNumberFormat="1" applyFont="1" applyFill="1" applyBorder="1"/>
    <xf numFmtId="10" fontId="11" fillId="0" borderId="35" xfId="0" applyNumberFormat="1" applyFont="1" applyFill="1" applyBorder="1"/>
    <xf numFmtId="3" fontId="0" fillId="0" borderId="68" xfId="0" applyNumberFormat="1" applyFill="1" applyBorder="1"/>
    <xf numFmtId="10" fontId="4" fillId="0" borderId="45" xfId="0" applyNumberFormat="1" applyFont="1" applyFill="1" applyBorder="1"/>
    <xf numFmtId="3" fontId="0" fillId="0" borderId="34" xfId="0" applyNumberFormat="1" applyFont="1" applyFill="1" applyBorder="1"/>
    <xf numFmtId="10" fontId="0" fillId="0" borderId="35" xfId="0" applyNumberFormat="1" applyFill="1" applyBorder="1"/>
    <xf numFmtId="0" fontId="0" fillId="0" borderId="30" xfId="0" applyNumberFormat="1" applyFill="1" applyBorder="1"/>
    <xf numFmtId="0" fontId="0" fillId="0" borderId="34" xfId="0" applyNumberFormat="1" applyFill="1" applyBorder="1"/>
    <xf numFmtId="0" fontId="0" fillId="0" borderId="12" xfId="0" applyNumberFormat="1" applyFill="1" applyBorder="1"/>
    <xf numFmtId="10" fontId="4" fillId="0" borderId="69" xfId="0" applyNumberFormat="1" applyFont="1" applyFill="1" applyBorder="1"/>
    <xf numFmtId="0" fontId="0" fillId="0" borderId="70" xfId="0" applyNumberFormat="1" applyFill="1" applyBorder="1"/>
    <xf numFmtId="3" fontId="0" fillId="0" borderId="71" xfId="0" applyNumberFormat="1" applyFill="1" applyBorder="1"/>
    <xf numFmtId="0" fontId="0" fillId="0" borderId="68" xfId="0" applyNumberFormat="1" applyFill="1" applyBorder="1"/>
    <xf numFmtId="3" fontId="0" fillId="0" borderId="72" xfId="0" applyNumberFormat="1" applyFill="1" applyBorder="1"/>
    <xf numFmtId="10" fontId="4" fillId="0" borderId="44" xfId="0" applyNumberFormat="1" applyFont="1" applyFill="1" applyBorder="1"/>
    <xf numFmtId="10" fontId="4" fillId="0" borderId="55" xfId="0" applyNumberFormat="1" applyFont="1" applyFill="1" applyBorder="1"/>
    <xf numFmtId="0" fontId="0" fillId="0" borderId="55" xfId="0" applyNumberFormat="1" applyFill="1" applyBorder="1"/>
    <xf numFmtId="10" fontId="0" fillId="0" borderId="0" xfId="0" applyNumberFormat="1" applyFill="1" applyBorder="1"/>
    <xf numFmtId="0" fontId="2" fillId="0" borderId="49" xfId="0" applyFont="1" applyFill="1" applyBorder="1" applyAlignment="1">
      <alignment horizontal="left"/>
    </xf>
    <xf numFmtId="3" fontId="73" fillId="35" borderId="0" xfId="0" applyNumberFormat="1" applyFont="1" applyFill="1" applyBorder="1" applyAlignment="1">
      <alignment horizontal="left" vertical="center"/>
    </xf>
    <xf numFmtId="3" fontId="74" fillId="0" borderId="0" xfId="51" applyNumberFormat="1" applyFont="1" applyFill="1" applyBorder="1" applyAlignment="1">
      <alignment horizontal="right" vertical="center"/>
    </xf>
    <xf numFmtId="0" fontId="74" fillId="0" borderId="0" xfId="51" applyFont="1" applyAlignment="1">
      <alignment horizontal="right"/>
    </xf>
    <xf numFmtId="3" fontId="63" fillId="0" borderId="0" xfId="55" applyNumberFormat="1" applyFont="1" applyBorder="1" applyAlignment="1">
      <alignment horizontal="right" vertical="center"/>
    </xf>
    <xf numFmtId="3" fontId="44" fillId="0" borderId="0" xfId="51" applyNumberFormat="1" applyFont="1" applyFill="1" applyBorder="1" applyAlignment="1">
      <alignment vertical="center" wrapText="1"/>
    </xf>
    <xf numFmtId="172" fontId="71" fillId="0" borderId="0" xfId="40" applyNumberFormat="1" applyFont="1" applyFill="1" applyBorder="1" applyAlignment="1">
      <alignment horizontal="distributed"/>
    </xf>
    <xf numFmtId="3" fontId="70" fillId="0" borderId="0" xfId="0" applyNumberFormat="1" applyFont="1" applyFill="1" applyBorder="1" applyAlignment="1">
      <alignment horizontal="left" vertical="center" wrapText="1"/>
    </xf>
    <xf numFmtId="0" fontId="71" fillId="0" borderId="0" xfId="40" applyFont="1" applyFill="1" applyBorder="1" applyAlignment="1">
      <alignment horizontal="left"/>
    </xf>
    <xf numFmtId="3" fontId="70" fillId="0" borderId="29" xfId="0" applyNumberFormat="1" applyFont="1" applyFill="1" applyBorder="1" applyAlignment="1">
      <alignment horizontal="left" vertical="center" wrapText="1"/>
    </xf>
    <xf numFmtId="3" fontId="70" fillId="0" borderId="15" xfId="0" applyNumberFormat="1" applyFont="1" applyFill="1" applyBorder="1" applyAlignment="1">
      <alignment horizontal="left" vertical="center" wrapText="1"/>
    </xf>
    <xf numFmtId="3" fontId="70" fillId="0" borderId="28" xfId="0" applyNumberFormat="1" applyFont="1" applyFill="1" applyBorder="1" applyAlignment="1">
      <alignment horizontal="left" vertical="center" wrapText="1"/>
    </xf>
    <xf numFmtId="3" fontId="70" fillId="0" borderId="37" xfId="0" applyNumberFormat="1" applyFont="1" applyFill="1" applyBorder="1" applyAlignment="1">
      <alignment horizontal="left" vertical="center" wrapText="1"/>
    </xf>
    <xf numFmtId="0" fontId="2" fillId="0" borderId="59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3" fontId="8" fillId="0" borderId="37" xfId="51" applyNumberFormat="1" applyFont="1" applyBorder="1" applyAlignment="1">
      <alignment horizontal="center" vertical="center" wrapText="1"/>
    </xf>
    <xf numFmtId="3" fontId="8" fillId="0" borderId="20" xfId="51" applyNumberFormat="1" applyFont="1" applyBorder="1" applyAlignment="1">
      <alignment horizontal="center" vertical="center" wrapText="1"/>
    </xf>
    <xf numFmtId="3" fontId="8" fillId="0" borderId="18" xfId="51" applyNumberFormat="1" applyFont="1" applyBorder="1" applyAlignment="1">
      <alignment horizontal="center" vertical="center" wrapText="1"/>
    </xf>
    <xf numFmtId="3" fontId="8" fillId="0" borderId="19" xfId="51" applyNumberFormat="1" applyFont="1" applyBorder="1" applyAlignment="1">
      <alignment horizontal="center" vertical="center" wrapText="1"/>
    </xf>
    <xf numFmtId="3" fontId="8" fillId="0" borderId="59" xfId="51" applyNumberFormat="1" applyFont="1" applyBorder="1" applyAlignment="1">
      <alignment vertical="center" wrapText="1"/>
    </xf>
    <xf numFmtId="3" fontId="9" fillId="0" borderId="58" xfId="51" applyNumberFormat="1" applyFont="1" applyBorder="1" applyAlignment="1">
      <alignment vertical="center" wrapText="1"/>
    </xf>
    <xf numFmtId="3" fontId="9" fillId="0" borderId="56" xfId="51" applyNumberFormat="1" applyFont="1" applyBorder="1" applyAlignment="1">
      <alignment vertical="center" wrapText="1"/>
    </xf>
    <xf numFmtId="10" fontId="9" fillId="0" borderId="57" xfId="51" applyNumberFormat="1" applyFont="1" applyBorder="1" applyAlignment="1">
      <alignment vertical="center" wrapText="1"/>
    </xf>
    <xf numFmtId="3" fontId="8" fillId="0" borderId="15" xfId="51" applyNumberFormat="1" applyFont="1" applyBorder="1" applyAlignment="1">
      <alignment vertical="center" wrapText="1"/>
    </xf>
    <xf numFmtId="3" fontId="9" fillId="0" borderId="13" xfId="51" applyNumberFormat="1" applyFont="1" applyBorder="1" applyAlignment="1">
      <alignment vertical="center" wrapText="1"/>
    </xf>
    <xf numFmtId="3" fontId="9" fillId="0" borderId="23" xfId="51" applyNumberFormat="1" applyFont="1" applyBorder="1" applyAlignment="1">
      <alignment vertical="center" wrapText="1"/>
    </xf>
    <xf numFmtId="3" fontId="8" fillId="0" borderId="28" xfId="51" applyNumberFormat="1" applyFont="1" applyBorder="1" applyAlignment="1">
      <alignment vertical="center" wrapText="1"/>
    </xf>
    <xf numFmtId="3" fontId="9" fillId="0" borderId="26" xfId="51" applyNumberFormat="1" applyFont="1" applyBorder="1" applyAlignment="1">
      <alignment vertical="center" wrapText="1"/>
    </xf>
    <xf numFmtId="3" fontId="9" fillId="0" borderId="27" xfId="51" applyNumberFormat="1" applyFont="1" applyBorder="1" applyAlignment="1">
      <alignment vertical="center" wrapText="1"/>
    </xf>
    <xf numFmtId="10" fontId="9" fillId="0" borderId="62" xfId="51" applyNumberFormat="1" applyFont="1" applyBorder="1" applyAlignment="1">
      <alignment vertical="center" wrapText="1"/>
    </xf>
    <xf numFmtId="3" fontId="8" fillId="0" borderId="21" xfId="51" applyNumberFormat="1" applyFont="1" applyBorder="1" applyAlignment="1">
      <alignment vertical="center" wrapText="1"/>
    </xf>
    <xf numFmtId="3" fontId="8" fillId="0" borderId="18" xfId="51" applyNumberFormat="1" applyFont="1" applyBorder="1" applyAlignment="1">
      <alignment vertical="center" wrapText="1"/>
    </xf>
    <xf numFmtId="10" fontId="8" fillId="0" borderId="19" xfId="51" applyNumberFormat="1" applyFont="1" applyBorder="1" applyAlignment="1">
      <alignment vertical="center" wrapText="1"/>
    </xf>
    <xf numFmtId="3" fontId="8" fillId="0" borderId="37" xfId="48" applyNumberFormat="1" applyFont="1" applyFill="1" applyBorder="1" applyAlignment="1">
      <alignment horizontal="center" vertical="center" wrapText="1"/>
    </xf>
    <xf numFmtId="3" fontId="8" fillId="0" borderId="20" xfId="48" applyNumberFormat="1" applyFont="1" applyFill="1" applyBorder="1" applyAlignment="1">
      <alignment horizontal="center" vertical="center" wrapText="1"/>
    </xf>
    <xf numFmtId="3" fontId="8" fillId="0" borderId="18" xfId="48" applyNumberFormat="1" applyFont="1" applyFill="1" applyBorder="1" applyAlignment="1">
      <alignment horizontal="center" vertical="center" wrapText="1"/>
    </xf>
    <xf numFmtId="3" fontId="8" fillId="0" borderId="19" xfId="48" applyNumberFormat="1" applyFont="1" applyFill="1" applyBorder="1" applyAlignment="1">
      <alignment horizontal="center" vertical="center" wrapText="1"/>
    </xf>
    <xf numFmtId="3" fontId="8" fillId="0" borderId="59" xfId="48" applyNumberFormat="1" applyFont="1" applyFill="1" applyBorder="1" applyAlignment="1">
      <alignment horizontal="left" vertical="center" wrapText="1" indent="1"/>
    </xf>
    <xf numFmtId="3" fontId="9" fillId="0" borderId="58" xfId="48" applyNumberFormat="1" applyFont="1" applyFill="1" applyBorder="1" applyAlignment="1">
      <alignment horizontal="right" vertical="center" wrapText="1" indent="1"/>
    </xf>
    <xf numFmtId="3" fontId="9" fillId="0" borderId="56" xfId="48" applyNumberFormat="1" applyFont="1" applyFill="1" applyBorder="1" applyAlignment="1">
      <alignment horizontal="right" vertical="center" wrapText="1" indent="1"/>
    </xf>
    <xf numFmtId="3" fontId="8" fillId="0" borderId="15" xfId="48" applyNumberFormat="1" applyFont="1" applyFill="1" applyBorder="1" applyAlignment="1">
      <alignment horizontal="left" vertical="center" wrapText="1" indent="1"/>
    </xf>
    <xf numFmtId="3" fontId="9" fillId="0" borderId="13" xfId="48" applyNumberFormat="1" applyFont="1" applyFill="1" applyBorder="1" applyAlignment="1">
      <alignment horizontal="right" vertical="center" wrapText="1" indent="1"/>
    </xf>
    <xf numFmtId="3" fontId="9" fillId="0" borderId="23" xfId="48" applyNumberFormat="1" applyFont="1" applyFill="1" applyBorder="1" applyAlignment="1">
      <alignment horizontal="right" vertical="center" wrapText="1" indent="1"/>
    </xf>
    <xf numFmtId="3" fontId="8" fillId="0" borderId="28" xfId="48" applyNumberFormat="1" applyFont="1" applyFill="1" applyBorder="1" applyAlignment="1">
      <alignment horizontal="left" vertical="center" wrapText="1" indent="1"/>
    </xf>
    <xf numFmtId="3" fontId="9" fillId="0" borderId="26" xfId="48" applyNumberFormat="1" applyFont="1" applyFill="1" applyBorder="1" applyAlignment="1">
      <alignment horizontal="right" vertical="center" wrapText="1" indent="1"/>
    </xf>
    <xf numFmtId="3" fontId="9" fillId="0" borderId="27" xfId="48" applyNumberFormat="1" applyFont="1" applyFill="1" applyBorder="1" applyAlignment="1">
      <alignment horizontal="right" vertical="center" wrapText="1" indent="1"/>
    </xf>
    <xf numFmtId="3" fontId="8" fillId="0" borderId="37" xfId="48" applyNumberFormat="1" applyFont="1" applyFill="1" applyBorder="1" applyAlignment="1">
      <alignment horizontal="left" vertical="center" wrapText="1" indent="1"/>
    </xf>
    <xf numFmtId="3" fontId="8" fillId="0" borderId="49" xfId="55" applyNumberFormat="1" applyFont="1" applyFill="1" applyBorder="1" applyAlignment="1">
      <alignment horizontal="center" vertical="center" wrapText="1"/>
    </xf>
    <xf numFmtId="3" fontId="8" fillId="0" borderId="73" xfId="52" applyNumberFormat="1" applyFont="1" applyFill="1" applyBorder="1" applyAlignment="1">
      <alignment horizontal="center" vertical="center" wrapText="1"/>
    </xf>
    <xf numFmtId="3" fontId="8" fillId="0" borderId="74" xfId="52" applyNumberFormat="1" applyFont="1" applyFill="1" applyBorder="1" applyAlignment="1">
      <alignment horizontal="center" vertical="center" wrapText="1"/>
    </xf>
    <xf numFmtId="3" fontId="8" fillId="0" borderId="75" xfId="55" applyNumberFormat="1" applyFont="1" applyFill="1" applyBorder="1" applyAlignment="1">
      <alignment horizontal="center" vertical="center" wrapText="1"/>
    </xf>
    <xf numFmtId="3" fontId="8" fillId="0" borderId="21" xfId="52" applyNumberFormat="1" applyFont="1" applyFill="1" applyBorder="1" applyAlignment="1">
      <alignment horizontal="center" vertical="center" wrapText="1"/>
    </xf>
    <xf numFmtId="3" fontId="8" fillId="0" borderId="18" xfId="52" applyNumberFormat="1" applyFont="1" applyFill="1" applyBorder="1" applyAlignment="1">
      <alignment horizontal="center" vertical="center" wrapText="1"/>
    </xf>
    <xf numFmtId="3" fontId="8" fillId="0" borderId="19" xfId="55" applyNumberFormat="1" applyFont="1" applyFill="1" applyBorder="1" applyAlignment="1">
      <alignment horizontal="center" vertical="center" wrapText="1"/>
    </xf>
    <xf numFmtId="3" fontId="8" fillId="0" borderId="29" xfId="55" applyNumberFormat="1" applyFont="1" applyFill="1" applyBorder="1" applyAlignment="1">
      <alignment horizontal="left" vertical="center" wrapText="1" indent="1"/>
    </xf>
    <xf numFmtId="3" fontId="9" fillId="0" borderId="30" xfId="28" applyNumberFormat="1" applyFont="1" applyFill="1" applyBorder="1" applyAlignment="1">
      <alignment horizontal="right" vertical="center" wrapText="1" indent="1"/>
    </xf>
    <xf numFmtId="3" fontId="9" fillId="0" borderId="53" xfId="28" applyNumberFormat="1" applyFont="1" applyFill="1" applyBorder="1" applyAlignment="1">
      <alignment horizontal="right" vertical="center" wrapText="1" indent="1"/>
    </xf>
    <xf numFmtId="3" fontId="9" fillId="0" borderId="31" xfId="28" applyNumberFormat="1" applyFont="1" applyFill="1" applyBorder="1" applyAlignment="1">
      <alignment horizontal="right" vertical="center" wrapText="1" indent="1"/>
    </xf>
    <xf numFmtId="3" fontId="9" fillId="0" borderId="41" xfId="55" applyNumberFormat="1" applyFont="1" applyFill="1" applyBorder="1" applyAlignment="1">
      <alignment horizontal="right" vertical="center" wrapText="1" indent="1"/>
    </xf>
    <xf numFmtId="3" fontId="9" fillId="0" borderId="53" xfId="55" applyNumberFormat="1" applyFont="1" applyFill="1" applyBorder="1" applyAlignment="1">
      <alignment horizontal="right" vertical="center" wrapText="1" indent="1"/>
    </xf>
    <xf numFmtId="3" fontId="9" fillId="0" borderId="31" xfId="55" applyNumberFormat="1" applyFont="1" applyFill="1" applyBorder="1" applyAlignment="1">
      <alignment horizontal="right" vertical="center" wrapText="1" indent="1"/>
    </xf>
    <xf numFmtId="3" fontId="8" fillId="0" borderId="15" xfId="55" applyNumberFormat="1" applyFont="1" applyFill="1" applyBorder="1" applyAlignment="1">
      <alignment horizontal="left" vertical="center" wrapText="1" indent="1"/>
    </xf>
    <xf numFmtId="3" fontId="9" fillId="0" borderId="17" xfId="28" applyNumberFormat="1" applyFont="1" applyFill="1" applyBorder="1" applyAlignment="1">
      <alignment horizontal="right" vertical="center" wrapText="1" indent="1"/>
    </xf>
    <xf numFmtId="3" fontId="9" fillId="0" borderId="23" xfId="28" applyNumberFormat="1" applyFont="1" applyFill="1" applyBorder="1" applyAlignment="1">
      <alignment horizontal="right" vertical="center" wrapText="1" indent="1"/>
    </xf>
    <xf numFmtId="3" fontId="9" fillId="0" borderId="22" xfId="28" applyNumberFormat="1" applyFont="1" applyFill="1" applyBorder="1" applyAlignment="1">
      <alignment horizontal="right" vertical="center" wrapText="1" indent="1"/>
    </xf>
    <xf numFmtId="3" fontId="9" fillId="0" borderId="13" xfId="55" applyNumberFormat="1" applyFont="1" applyFill="1" applyBorder="1" applyAlignment="1">
      <alignment horizontal="right" vertical="center" wrapText="1" indent="1"/>
    </xf>
    <xf numFmtId="3" fontId="9" fillId="0" borderId="23" xfId="55" applyNumberFormat="1" applyFont="1" applyFill="1" applyBorder="1" applyAlignment="1">
      <alignment horizontal="right" vertical="center" wrapText="1" indent="1"/>
    </xf>
    <xf numFmtId="3" fontId="9" fillId="0" borderId="22" xfId="55" applyNumberFormat="1" applyFont="1" applyFill="1" applyBorder="1" applyAlignment="1">
      <alignment horizontal="right" vertical="center" wrapText="1" indent="1"/>
    </xf>
    <xf numFmtId="3" fontId="8" fillId="0" borderId="16" xfId="55" applyNumberFormat="1" applyFont="1" applyFill="1" applyBorder="1" applyAlignment="1">
      <alignment horizontal="left" vertical="center" wrapText="1" indent="1"/>
    </xf>
    <xf numFmtId="3" fontId="9" fillId="0" borderId="34" xfId="28" applyNumberFormat="1" applyFont="1" applyFill="1" applyBorder="1" applyAlignment="1">
      <alignment horizontal="right" vertical="center" wrapText="1" indent="1"/>
    </xf>
    <xf numFmtId="3" fontId="9" fillId="0" borderId="55" xfId="28" applyNumberFormat="1" applyFont="1" applyFill="1" applyBorder="1" applyAlignment="1">
      <alignment horizontal="right" vertical="center" wrapText="1" indent="1"/>
    </xf>
    <xf numFmtId="3" fontId="9" fillId="0" borderId="35" xfId="28" applyNumberFormat="1" applyFont="1" applyFill="1" applyBorder="1" applyAlignment="1">
      <alignment horizontal="right" vertical="center" wrapText="1" indent="1"/>
    </xf>
    <xf numFmtId="3" fontId="9" fillId="0" borderId="14" xfId="55" applyNumberFormat="1" applyFont="1" applyFill="1" applyBorder="1" applyAlignment="1">
      <alignment horizontal="right" vertical="center" wrapText="1" indent="1"/>
    </xf>
    <xf numFmtId="3" fontId="9" fillId="0" borderId="55" xfId="55" applyNumberFormat="1" applyFont="1" applyFill="1" applyBorder="1" applyAlignment="1">
      <alignment horizontal="right" vertical="center" wrapText="1" indent="1"/>
    </xf>
    <xf numFmtId="3" fontId="9" fillId="0" borderId="35" xfId="55" applyNumberFormat="1" applyFont="1" applyFill="1" applyBorder="1" applyAlignment="1">
      <alignment horizontal="right" vertical="center" wrapText="1" indent="1"/>
    </xf>
    <xf numFmtId="3" fontId="8" fillId="0" borderId="37" xfId="55" applyNumberFormat="1" applyFont="1" applyFill="1" applyBorder="1" applyAlignment="1">
      <alignment horizontal="left" vertical="center" wrapText="1" indent="1"/>
    </xf>
    <xf numFmtId="3" fontId="8" fillId="0" borderId="49" xfId="28" applyNumberFormat="1" applyFont="1" applyFill="1" applyBorder="1" applyAlignment="1">
      <alignment horizontal="right" vertical="center" wrapText="1" indent="1"/>
    </xf>
    <xf numFmtId="3" fontId="8" fillId="0" borderId="51" xfId="28" applyNumberFormat="1" applyFont="1" applyFill="1" applyBorder="1" applyAlignment="1">
      <alignment horizontal="right" vertical="center" wrapText="1" indent="1"/>
    </xf>
    <xf numFmtId="3" fontId="8" fillId="0" borderId="19" xfId="28" applyNumberFormat="1" applyFont="1" applyFill="1" applyBorder="1" applyAlignment="1">
      <alignment horizontal="right" vertical="center" wrapText="1" indent="1"/>
    </xf>
    <xf numFmtId="0" fontId="2" fillId="0" borderId="15" xfId="0" applyFont="1" applyFill="1" applyBorder="1" applyAlignment="1">
      <alignment horizontal="left"/>
    </xf>
    <xf numFmtId="0" fontId="0" fillId="0" borderId="47" xfId="0" applyNumberFormat="1" applyFill="1" applyBorder="1"/>
    <xf numFmtId="3" fontId="0" fillId="0" borderId="76" xfId="0" applyNumberFormat="1" applyFill="1" applyBorder="1"/>
    <xf numFmtId="0" fontId="0" fillId="0" borderId="76" xfId="0" applyFill="1" applyBorder="1"/>
    <xf numFmtId="1" fontId="0" fillId="0" borderId="32" xfId="0" applyNumberFormat="1" applyFill="1" applyBorder="1"/>
    <xf numFmtId="1" fontId="0" fillId="0" borderId="33" xfId="0" applyNumberFormat="1" applyFill="1" applyBorder="1"/>
    <xf numFmtId="165" fontId="4" fillId="0" borderId="42" xfId="60" applyNumberFormat="1" applyFont="1" applyFill="1" applyBorder="1"/>
    <xf numFmtId="165" fontId="4" fillId="0" borderId="43" xfId="60" applyNumberFormat="1" applyFont="1" applyFill="1" applyBorder="1"/>
    <xf numFmtId="165" fontId="4" fillId="0" borderId="66" xfId="60" applyNumberFormat="1" applyFont="1" applyFill="1" applyBorder="1"/>
    <xf numFmtId="165" fontId="4" fillId="0" borderId="65" xfId="60" applyNumberFormat="1" applyFont="1" applyFill="1" applyBorder="1"/>
    <xf numFmtId="165" fontId="4" fillId="0" borderId="48" xfId="60" applyNumberFormat="1" applyFont="1" applyFill="1" applyBorder="1"/>
    <xf numFmtId="3" fontId="2" fillId="0" borderId="19" xfId="0" applyNumberFormat="1" applyFont="1" applyFill="1" applyBorder="1"/>
    <xf numFmtId="3" fontId="2" fillId="0" borderId="51" xfId="0" applyNumberFormat="1" applyFont="1" applyFill="1" applyBorder="1"/>
    <xf numFmtId="3" fontId="2" fillId="0" borderId="37" xfId="0" applyNumberFormat="1" applyFont="1" applyFill="1" applyBorder="1"/>
    <xf numFmtId="1" fontId="2" fillId="0" borderId="37" xfId="0" applyNumberFormat="1" applyFont="1" applyFill="1" applyBorder="1"/>
    <xf numFmtId="0" fontId="2" fillId="0" borderId="29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0" fontId="2" fillId="0" borderId="39" xfId="0" applyFont="1" applyFill="1" applyBorder="1"/>
    <xf numFmtId="0" fontId="2" fillId="0" borderId="54" xfId="0" applyFont="1" applyFill="1" applyBorder="1"/>
    <xf numFmtId="0" fontId="2" fillId="0" borderId="40" xfId="0" applyFont="1" applyFill="1" applyBorder="1"/>
    <xf numFmtId="0" fontId="8" fillId="0" borderId="15" xfId="0" applyFont="1" applyFill="1" applyBorder="1" applyAlignment="1">
      <alignment horizontal="left" vertical="center" indent="1"/>
    </xf>
    <xf numFmtId="3" fontId="70" fillId="0" borderId="16" xfId="0" applyNumberFormat="1" applyFont="1" applyFill="1" applyBorder="1" applyAlignment="1">
      <alignment horizontal="left" vertical="center" wrapText="1"/>
    </xf>
    <xf numFmtId="168" fontId="9" fillId="0" borderId="29" xfId="0" applyNumberFormat="1" applyFont="1" applyFill="1" applyBorder="1" applyAlignment="1">
      <alignment vertical="center" wrapText="1"/>
    </xf>
    <xf numFmtId="168" fontId="9" fillId="0" borderId="15" xfId="0" applyNumberFormat="1" applyFont="1" applyFill="1" applyBorder="1" applyAlignment="1">
      <alignment vertical="center" wrapText="1"/>
    </xf>
    <xf numFmtId="168" fontId="9" fillId="0" borderId="16" xfId="0" applyNumberFormat="1" applyFont="1" applyFill="1" applyBorder="1" applyAlignment="1">
      <alignment vertical="center" wrapText="1"/>
    </xf>
    <xf numFmtId="168" fontId="9" fillId="0" borderId="41" xfId="0" applyNumberFormat="1" applyFont="1" applyBorder="1" applyAlignment="1">
      <alignment vertical="center" wrapText="1"/>
    </xf>
    <xf numFmtId="168" fontId="9" fillId="0" borderId="13" xfId="0" applyNumberFormat="1" applyFont="1" applyBorder="1" applyAlignment="1">
      <alignment vertical="center" wrapText="1"/>
    </xf>
    <xf numFmtId="168" fontId="9" fillId="0" borderId="14" xfId="0" applyNumberFormat="1" applyFont="1" applyBorder="1" applyAlignment="1">
      <alignment vertical="center" wrapText="1"/>
    </xf>
    <xf numFmtId="4" fontId="9" fillId="0" borderId="29" xfId="0" applyNumberFormat="1" applyFont="1" applyBorder="1" applyAlignment="1">
      <alignment vertical="center" wrapText="1"/>
    </xf>
    <xf numFmtId="4" fontId="9" fillId="0" borderId="15" xfId="0" applyNumberFormat="1" applyFont="1" applyBorder="1" applyAlignment="1">
      <alignment vertical="center" wrapText="1"/>
    </xf>
    <xf numFmtId="4" fontId="9" fillId="0" borderId="16" xfId="0" applyNumberFormat="1" applyFont="1" applyBorder="1" applyAlignment="1">
      <alignment vertical="center" wrapText="1"/>
    </xf>
    <xf numFmtId="168" fontId="9" fillId="0" borderId="30" xfId="0" applyNumberFormat="1" applyFont="1" applyBorder="1" applyAlignment="1">
      <alignment vertical="center" wrapText="1"/>
    </xf>
    <xf numFmtId="168" fontId="9" fillId="0" borderId="17" xfId="0" applyNumberFormat="1" applyFont="1" applyBorder="1" applyAlignment="1">
      <alignment vertical="center" wrapText="1"/>
    </xf>
    <xf numFmtId="49" fontId="9" fillId="0" borderId="22" xfId="0" applyNumberFormat="1" applyFont="1" applyBorder="1" applyAlignment="1">
      <alignment horizontal="right" vertical="center" wrapText="1"/>
    </xf>
    <xf numFmtId="168" fontId="9" fillId="0" borderId="34" xfId="0" applyNumberFormat="1" applyFont="1" applyBorder="1" applyAlignment="1">
      <alignment vertical="center" wrapText="1"/>
    </xf>
    <xf numFmtId="49" fontId="9" fillId="0" borderId="35" xfId="0" applyNumberFormat="1" applyFont="1" applyBorder="1" applyAlignment="1">
      <alignment horizontal="right" vertical="center" wrapText="1"/>
    </xf>
    <xf numFmtId="0" fontId="70" fillId="0" borderId="59" xfId="51" applyFont="1" applyFill="1" applyBorder="1" applyAlignment="1">
      <alignment vertical="top" wrapText="1"/>
    </xf>
    <xf numFmtId="0" fontId="70" fillId="0" borderId="15" xfId="51" applyFont="1" applyFill="1" applyBorder="1" applyAlignment="1">
      <alignment vertical="top" wrapText="1"/>
    </xf>
    <xf numFmtId="0" fontId="70" fillId="0" borderId="15" xfId="51" applyFont="1" applyFill="1" applyBorder="1" applyAlignment="1">
      <alignment horizontal="left" vertical="top" wrapText="1"/>
    </xf>
    <xf numFmtId="0" fontId="70" fillId="0" borderId="28" xfId="51" applyFont="1" applyFill="1" applyBorder="1" applyAlignment="1">
      <alignment vertical="top" wrapText="1"/>
    </xf>
    <xf numFmtId="3" fontId="9" fillId="0" borderId="46" xfId="48" applyNumberFormat="1" applyFont="1" applyFill="1" applyBorder="1" applyAlignment="1">
      <alignment vertical="center" wrapText="1"/>
    </xf>
    <xf numFmtId="3" fontId="9" fillId="0" borderId="29" xfId="48" applyNumberFormat="1" applyFont="1" applyFill="1" applyBorder="1" applyAlignment="1">
      <alignment horizontal="right" vertical="center" wrapText="1" indent="1"/>
    </xf>
    <xf numFmtId="3" fontId="9" fillId="0" borderId="47" xfId="48" applyNumberFormat="1" applyFont="1" applyFill="1" applyBorder="1" applyAlignment="1">
      <alignment vertical="center" wrapText="1"/>
    </xf>
    <xf numFmtId="3" fontId="9" fillId="0" borderId="15" xfId="48" applyNumberFormat="1" applyFont="1" applyFill="1" applyBorder="1" applyAlignment="1">
      <alignment horizontal="right" vertical="center" wrapText="1" indent="1"/>
    </xf>
    <xf numFmtId="3" fontId="8" fillId="0" borderId="49" xfId="48" applyNumberFormat="1" applyFont="1" applyFill="1" applyBorder="1" applyAlignment="1">
      <alignment vertical="center"/>
    </xf>
    <xf numFmtId="3" fontId="9" fillId="0" borderId="77" xfId="48" applyNumberFormat="1" applyFont="1" applyFill="1" applyBorder="1" applyAlignment="1">
      <alignment vertical="center" wrapText="1"/>
    </xf>
    <xf numFmtId="3" fontId="9" fillId="0" borderId="78" xfId="48" applyNumberFormat="1" applyFont="1" applyFill="1" applyBorder="1" applyAlignment="1">
      <alignment vertical="center" wrapText="1"/>
    </xf>
    <xf numFmtId="3" fontId="9" fillId="0" borderId="79" xfId="48" applyNumberFormat="1" applyFont="1" applyFill="1" applyBorder="1" applyAlignment="1">
      <alignment vertical="center" wrapText="1"/>
    </xf>
    <xf numFmtId="3" fontId="9" fillId="0" borderId="80" xfId="48" applyNumberFormat="1" applyFont="1" applyFill="1" applyBorder="1" applyAlignment="1">
      <alignment vertical="center" wrapText="1"/>
    </xf>
    <xf numFmtId="3" fontId="8" fillId="0" borderId="37" xfId="48" applyNumberFormat="1" applyFont="1" applyFill="1" applyBorder="1" applyAlignment="1">
      <alignment horizontal="right" vertical="center" wrapText="1" indent="1"/>
    </xf>
    <xf numFmtId="3" fontId="9" fillId="0" borderId="37" xfId="48" applyNumberFormat="1" applyFont="1" applyFill="1" applyBorder="1" applyAlignment="1">
      <alignment vertical="center" wrapText="1"/>
    </xf>
    <xf numFmtId="3" fontId="9" fillId="0" borderId="81" xfId="48" applyNumberFormat="1" applyFont="1" applyFill="1" applyBorder="1" applyAlignment="1">
      <alignment vertical="center" wrapText="1"/>
    </xf>
    <xf numFmtId="3" fontId="9" fillId="0" borderId="82" xfId="48" applyNumberFormat="1" applyFont="1" applyFill="1" applyBorder="1" applyAlignment="1">
      <alignment vertical="center" wrapText="1"/>
    </xf>
    <xf numFmtId="3" fontId="9" fillId="0" borderId="78" xfId="48" applyNumberFormat="1" applyFont="1" applyFill="1" applyBorder="1" applyAlignment="1">
      <alignment vertical="center"/>
    </xf>
    <xf numFmtId="3" fontId="9" fillId="0" borderId="79" xfId="48" applyNumberFormat="1" applyFont="1" applyFill="1" applyBorder="1" applyAlignment="1">
      <alignment vertical="center"/>
    </xf>
    <xf numFmtId="3" fontId="9" fillId="0" borderId="81" xfId="48" applyNumberFormat="1" applyFont="1" applyFill="1" applyBorder="1" applyAlignment="1">
      <alignment horizontal="right" vertical="center" indent="1"/>
    </xf>
    <xf numFmtId="3" fontId="9" fillId="0" borderId="15" xfId="48" applyNumberFormat="1" applyFont="1" applyFill="1" applyBorder="1" applyAlignment="1">
      <alignment horizontal="right" vertical="center" indent="1"/>
    </xf>
    <xf numFmtId="3" fontId="9" fillId="0" borderId="15" xfId="48" applyNumberFormat="1" applyFont="1" applyFill="1" applyBorder="1" applyAlignment="1">
      <alignment vertical="center" wrapText="1"/>
    </xf>
    <xf numFmtId="3" fontId="9" fillId="0" borderId="83" xfId="48" applyNumberFormat="1" applyFont="1" applyFill="1" applyBorder="1" applyAlignment="1">
      <alignment vertical="center" wrapText="1"/>
    </xf>
    <xf numFmtId="3" fontId="9" fillId="0" borderId="84" xfId="48" applyNumberFormat="1" applyFont="1" applyFill="1" applyBorder="1" applyAlignment="1">
      <alignment vertical="center"/>
    </xf>
    <xf numFmtId="3" fontId="9" fillId="0" borderId="85" xfId="48" applyNumberFormat="1" applyFont="1" applyFill="1" applyBorder="1" applyAlignment="1">
      <alignment vertical="center"/>
    </xf>
    <xf numFmtId="3" fontId="9" fillId="0" borderId="48" xfId="48" applyNumberFormat="1" applyFont="1" applyFill="1" applyBorder="1" applyAlignment="1">
      <alignment horizontal="right" vertical="center" indent="1"/>
    </xf>
    <xf numFmtId="3" fontId="9" fillId="0" borderId="86" xfId="48" applyNumberFormat="1" applyFont="1" applyFill="1" applyBorder="1" applyAlignment="1">
      <alignment vertical="center" wrapText="1"/>
    </xf>
    <xf numFmtId="3" fontId="9" fillId="0" borderId="0" xfId="48" applyNumberFormat="1" applyFont="1" applyFill="1" applyBorder="1" applyAlignment="1">
      <alignment vertical="center" wrapText="1"/>
    </xf>
    <xf numFmtId="3" fontId="9" fillId="0" borderId="87" xfId="48" applyNumberFormat="1" applyFont="1" applyFill="1" applyBorder="1" applyAlignment="1">
      <alignment vertical="center" wrapText="1"/>
    </xf>
    <xf numFmtId="3" fontId="9" fillId="0" borderId="81" xfId="48" applyNumberFormat="1" applyFont="1" applyFill="1" applyBorder="1" applyAlignment="1">
      <alignment horizontal="right" vertical="center" wrapText="1" indent="1"/>
    </xf>
    <xf numFmtId="3" fontId="9" fillId="0" borderId="72" xfId="48" applyNumberFormat="1" applyFont="1" applyFill="1" applyBorder="1" applyAlignment="1">
      <alignment vertical="center" wrapText="1"/>
    </xf>
    <xf numFmtId="3" fontId="8" fillId="0" borderId="63" xfId="48" applyNumberFormat="1" applyFont="1" applyFill="1" applyBorder="1" applyAlignment="1">
      <alignment vertical="center"/>
    </xf>
    <xf numFmtId="3" fontId="8" fillId="0" borderId="81" xfId="48" applyNumberFormat="1" applyFont="1" applyFill="1" applyBorder="1" applyAlignment="1">
      <alignment horizontal="right" vertical="center" wrapText="1" indent="1"/>
    </xf>
    <xf numFmtId="3" fontId="8" fillId="0" borderId="37" xfId="48" applyNumberFormat="1" applyFont="1" applyFill="1" applyBorder="1" applyAlignment="1">
      <alignment vertical="center" wrapText="1"/>
    </xf>
    <xf numFmtId="0" fontId="8" fillId="0" borderId="21" xfId="48" applyFont="1" applyFill="1" applyBorder="1" applyAlignment="1">
      <alignment horizontal="center" vertical="center" wrapText="1"/>
    </xf>
    <xf numFmtId="165" fontId="12" fillId="0" borderId="18" xfId="48" applyNumberFormat="1" applyFont="1" applyFill="1" applyBorder="1" applyAlignment="1">
      <alignment horizontal="center" vertical="center" wrapText="1"/>
    </xf>
    <xf numFmtId="0" fontId="8" fillId="0" borderId="18" xfId="48" applyFont="1" applyFill="1" applyBorder="1" applyAlignment="1">
      <alignment horizontal="center" vertical="center" wrapText="1"/>
    </xf>
    <xf numFmtId="9" fontId="12" fillId="0" borderId="18" xfId="60" applyFont="1" applyFill="1" applyBorder="1" applyAlignment="1">
      <alignment horizontal="center" vertical="center" wrapText="1"/>
    </xf>
    <xf numFmtId="9" fontId="12" fillId="0" borderId="19" xfId="48" applyNumberFormat="1" applyFont="1" applyFill="1" applyBorder="1" applyAlignment="1">
      <alignment horizontal="center" vertical="center" wrapText="1"/>
    </xf>
    <xf numFmtId="0" fontId="9" fillId="0" borderId="29" xfId="56" applyFont="1" applyFill="1" applyBorder="1" applyAlignment="1">
      <alignment horizontal="left" vertical="center" wrapText="1" indent="1"/>
    </xf>
    <xf numFmtId="169" fontId="9" fillId="0" borderId="88" xfId="56" applyNumberFormat="1" applyFont="1" applyFill="1" applyBorder="1" applyAlignment="1">
      <alignment horizontal="right" vertical="center" wrapText="1" indent="1"/>
    </xf>
    <xf numFmtId="165" fontId="11" fillId="0" borderId="53" xfId="48" applyNumberFormat="1" applyFont="1" applyFill="1" applyBorder="1" applyAlignment="1">
      <alignment horizontal="center" vertical="center" wrapText="1"/>
    </xf>
    <xf numFmtId="169" fontId="9" fillId="0" borderId="56" xfId="56" applyNumberFormat="1" applyFont="1" applyFill="1" applyBorder="1" applyAlignment="1">
      <alignment horizontal="right" vertical="center" wrapText="1" indent="1"/>
    </xf>
    <xf numFmtId="3" fontId="9" fillId="0" borderId="74" xfId="48" applyNumberFormat="1" applyFont="1" applyFill="1" applyBorder="1" applyAlignment="1">
      <alignment horizontal="right" vertical="center" wrapText="1" indent="1"/>
    </xf>
    <xf numFmtId="165" fontId="11" fillId="0" borderId="31" xfId="60" applyNumberFormat="1" applyFont="1" applyFill="1" applyBorder="1" applyAlignment="1">
      <alignment horizontal="center" vertical="center" wrapText="1"/>
    </xf>
    <xf numFmtId="0" fontId="9" fillId="0" borderId="15" xfId="56" applyFont="1" applyFill="1" applyBorder="1" applyAlignment="1">
      <alignment horizontal="left" vertical="center" wrapText="1" indent="1"/>
    </xf>
    <xf numFmtId="169" fontId="9" fillId="0" borderId="17" xfId="56" applyNumberFormat="1" applyFont="1" applyFill="1" applyBorder="1" applyAlignment="1">
      <alignment horizontal="right" vertical="center" wrapText="1" indent="1"/>
    </xf>
    <xf numFmtId="165" fontId="11" fillId="0" borderId="23" xfId="48" applyNumberFormat="1" applyFont="1" applyFill="1" applyBorder="1" applyAlignment="1">
      <alignment horizontal="center" vertical="center" wrapText="1"/>
    </xf>
    <xf numFmtId="169" fontId="9" fillId="0" borderId="23" xfId="56" applyNumberFormat="1" applyFont="1" applyFill="1" applyBorder="1" applyAlignment="1">
      <alignment horizontal="right" vertical="center" wrapText="1" indent="1"/>
    </xf>
    <xf numFmtId="165" fontId="11" fillId="0" borderId="22" xfId="60" applyNumberFormat="1" applyFont="1" applyFill="1" applyBorder="1" applyAlignment="1">
      <alignment horizontal="center" vertical="center" wrapText="1"/>
    </xf>
    <xf numFmtId="165" fontId="11" fillId="0" borderId="22" xfId="60" applyNumberFormat="1" applyFont="1" applyFill="1" applyBorder="1" applyAlignment="1">
      <alignment horizontal="right" vertical="center" wrapText="1"/>
    </xf>
    <xf numFmtId="0" fontId="9" fillId="0" borderId="28" xfId="56" applyFont="1" applyFill="1" applyBorder="1" applyAlignment="1">
      <alignment horizontal="left" vertical="center" wrapText="1" indent="1"/>
    </xf>
    <xf numFmtId="169" fontId="9" fillId="0" borderId="24" xfId="56" applyNumberFormat="1" applyFont="1" applyFill="1" applyBorder="1" applyAlignment="1">
      <alignment horizontal="right" vertical="center" wrapText="1" indent="1"/>
    </xf>
    <xf numFmtId="165" fontId="11" fillId="0" borderId="27" xfId="48" applyNumberFormat="1" applyFont="1" applyFill="1" applyBorder="1" applyAlignment="1">
      <alignment horizontal="center" vertical="center" wrapText="1"/>
    </xf>
    <xf numFmtId="169" fontId="9" fillId="0" borderId="27" xfId="56" applyNumberFormat="1" applyFont="1" applyFill="1" applyBorder="1" applyAlignment="1">
      <alignment horizontal="right" vertical="center" wrapText="1" indent="1"/>
    </xf>
    <xf numFmtId="165" fontId="11" fillId="0" borderId="25" xfId="60" applyNumberFormat="1" applyFont="1" applyFill="1" applyBorder="1" applyAlignment="1">
      <alignment horizontal="right" vertical="center" wrapText="1"/>
    </xf>
    <xf numFmtId="0" fontId="8" fillId="0" borderId="37" xfId="48" applyFont="1" applyFill="1" applyBorder="1" applyAlignment="1">
      <alignment horizontal="left" vertical="center" wrapText="1" indent="1"/>
    </xf>
    <xf numFmtId="169" fontId="8" fillId="0" borderId="21" xfId="56" applyNumberFormat="1" applyFont="1" applyFill="1" applyBorder="1" applyAlignment="1">
      <alignment horizontal="right" vertical="center" wrapText="1" indent="1"/>
    </xf>
    <xf numFmtId="165" fontId="11" fillId="0" borderId="18" xfId="48" applyNumberFormat="1" applyFont="1" applyFill="1" applyBorder="1" applyAlignment="1">
      <alignment horizontal="center" vertical="center" wrapText="1"/>
    </xf>
    <xf numFmtId="169" fontId="8" fillId="0" borderId="18" xfId="56" applyNumberFormat="1" applyFont="1" applyFill="1" applyBorder="1" applyAlignment="1">
      <alignment horizontal="right" vertical="center" wrapText="1" indent="1"/>
    </xf>
    <xf numFmtId="0" fontId="11" fillId="0" borderId="18" xfId="48" applyFont="1" applyFill="1" applyBorder="1" applyAlignment="1">
      <alignment vertical="center" wrapText="1"/>
    </xf>
    <xf numFmtId="4" fontId="2" fillId="0" borderId="18" xfId="56" applyNumberFormat="1" applyFont="1" applyFill="1" applyBorder="1" applyAlignment="1">
      <alignment horizontal="right" vertical="center" wrapText="1" indent="1"/>
    </xf>
    <xf numFmtId="0" fontId="9" fillId="0" borderId="19" xfId="48" applyFont="1" applyFill="1" applyBorder="1" applyAlignment="1">
      <alignment vertical="center" wrapText="1"/>
    </xf>
    <xf numFmtId="0" fontId="8" fillId="0" borderId="42" xfId="56" applyFont="1" applyFill="1" applyBorder="1" applyAlignment="1">
      <alignment horizontal="center" vertical="center" wrapText="1"/>
    </xf>
    <xf numFmtId="0" fontId="8" fillId="0" borderId="67" xfId="56" applyFont="1" applyFill="1" applyBorder="1" applyAlignment="1">
      <alignment horizontal="center" vertical="center" wrapText="1"/>
    </xf>
    <xf numFmtId="0" fontId="8" fillId="0" borderId="43" xfId="56" applyFont="1" applyFill="1" applyBorder="1" applyAlignment="1">
      <alignment horizontal="center" vertical="center" wrapText="1"/>
    </xf>
    <xf numFmtId="0" fontId="9" fillId="0" borderId="59" xfId="56" applyFont="1" applyFill="1" applyBorder="1" applyAlignment="1">
      <alignment horizontal="left" vertical="center" wrapText="1" indent="1"/>
    </xf>
    <xf numFmtId="169" fontId="9" fillId="0" borderId="57" xfId="56" applyNumberFormat="1" applyFont="1" applyFill="1" applyBorder="1" applyAlignment="1">
      <alignment horizontal="right" vertical="center" wrapText="1" indent="1"/>
    </xf>
    <xf numFmtId="169" fontId="9" fillId="0" borderId="22" xfId="56" applyNumberFormat="1" applyFont="1" applyFill="1" applyBorder="1" applyAlignment="1">
      <alignment horizontal="right" vertical="center" wrapText="1" indent="1"/>
    </xf>
    <xf numFmtId="0" fontId="9" fillId="0" borderId="16" xfId="56" applyFont="1" applyFill="1" applyBorder="1" applyAlignment="1">
      <alignment horizontal="left" vertical="center" wrapText="1" indent="1"/>
    </xf>
    <xf numFmtId="169" fontId="9" fillId="0" borderId="25" xfId="56" applyNumberFormat="1" applyFont="1" applyFill="1" applyBorder="1" applyAlignment="1">
      <alignment horizontal="right" vertical="center" wrapText="1" indent="1"/>
    </xf>
    <xf numFmtId="169" fontId="9" fillId="0" borderId="34" xfId="56" applyNumberFormat="1" applyFont="1" applyFill="1" applyBorder="1" applyAlignment="1">
      <alignment horizontal="right" vertical="center" wrapText="1" indent="1"/>
    </xf>
    <xf numFmtId="169" fontId="9" fillId="0" borderId="55" xfId="56" applyNumberFormat="1" applyFont="1" applyFill="1" applyBorder="1" applyAlignment="1">
      <alignment horizontal="right" vertical="center" wrapText="1" indent="1"/>
    </xf>
    <xf numFmtId="169" fontId="9" fillId="0" borderId="43" xfId="56" applyNumberFormat="1" applyFont="1" applyFill="1" applyBorder="1" applyAlignment="1">
      <alignment horizontal="right" vertical="center" wrapText="1" indent="1"/>
    </xf>
    <xf numFmtId="0" fontId="2" fillId="0" borderId="49" xfId="56" applyFont="1" applyFill="1" applyBorder="1" applyAlignment="1">
      <alignment horizontal="left" vertical="center" wrapText="1" indent="1"/>
    </xf>
    <xf numFmtId="169" fontId="2" fillId="0" borderId="21" xfId="56" applyNumberFormat="1" applyFont="1" applyFill="1" applyBorder="1" applyAlignment="1">
      <alignment horizontal="right" vertical="center" wrapText="1" indent="1"/>
    </xf>
    <xf numFmtId="169" fontId="2" fillId="0" borderId="37" xfId="56" applyNumberFormat="1" applyFont="1" applyFill="1" applyBorder="1" applyAlignment="1">
      <alignment horizontal="right" vertical="center" wrapText="1" indent="1"/>
    </xf>
    <xf numFmtId="169" fontId="2" fillId="0" borderId="49" xfId="56" applyNumberFormat="1" applyFont="1" applyFill="1" applyBorder="1" applyAlignment="1">
      <alignment horizontal="right" vertical="center" wrapText="1" indent="1"/>
    </xf>
    <xf numFmtId="169" fontId="2" fillId="0" borderId="18" xfId="56" applyNumberFormat="1" applyFont="1" applyFill="1" applyBorder="1" applyAlignment="1">
      <alignment horizontal="right" vertical="center" wrapText="1" indent="1"/>
    </xf>
    <xf numFmtId="169" fontId="2" fillId="0" borderId="19" xfId="56" applyNumberFormat="1" applyFont="1" applyFill="1" applyBorder="1" applyAlignment="1">
      <alignment horizontal="right" vertical="center" wrapText="1" indent="1"/>
    </xf>
    <xf numFmtId="3" fontId="8" fillId="0" borderId="21" xfId="48" applyNumberFormat="1" applyFont="1" applyFill="1" applyBorder="1" applyAlignment="1">
      <alignment horizontal="center" vertical="center" wrapText="1"/>
    </xf>
    <xf numFmtId="0" fontId="12" fillId="0" borderId="18" xfId="48" applyFont="1" applyFill="1" applyBorder="1" applyAlignment="1">
      <alignment horizontal="center" vertical="center" wrapText="1"/>
    </xf>
    <xf numFmtId="165" fontId="12" fillId="0" borderId="19" xfId="60" applyNumberFormat="1" applyFont="1" applyFill="1" applyBorder="1" applyAlignment="1">
      <alignment horizontal="right" vertical="center" wrapText="1" indent="1"/>
    </xf>
    <xf numFmtId="169" fontId="9" fillId="0" borderId="58" xfId="56" applyNumberFormat="1" applyFont="1" applyFill="1" applyBorder="1" applyAlignment="1">
      <alignment horizontal="right" vertical="center" wrapText="1" indent="1"/>
    </xf>
    <xf numFmtId="165" fontId="11" fillId="0" borderId="56" xfId="60" applyNumberFormat="1" applyFont="1" applyFill="1" applyBorder="1" applyAlignment="1">
      <alignment horizontal="right" vertical="center" wrapText="1" indent="1"/>
    </xf>
    <xf numFmtId="165" fontId="11" fillId="0" borderId="57" xfId="60" applyNumberFormat="1" applyFont="1" applyFill="1" applyBorder="1" applyAlignment="1">
      <alignment horizontal="right" vertical="center" wrapText="1" indent="1"/>
    </xf>
    <xf numFmtId="169" fontId="9" fillId="0" borderId="13" xfId="56" applyNumberFormat="1" applyFont="1" applyFill="1" applyBorder="1" applyAlignment="1">
      <alignment horizontal="right" vertical="center" wrapText="1" indent="1"/>
    </xf>
    <xf numFmtId="165" fontId="11" fillId="0" borderId="23" xfId="60" applyNumberFormat="1" applyFont="1" applyFill="1" applyBorder="1" applyAlignment="1">
      <alignment horizontal="right" vertical="center" wrapText="1" indent="1"/>
    </xf>
    <xf numFmtId="165" fontId="11" fillId="0" borderId="22" xfId="60" applyNumberFormat="1" applyFont="1" applyFill="1" applyBorder="1" applyAlignment="1">
      <alignment horizontal="right" vertical="center" wrapText="1" indent="1"/>
    </xf>
    <xf numFmtId="0" fontId="9" fillId="0" borderId="0" xfId="48" applyFont="1" applyFill="1" applyBorder="1" applyAlignment="1">
      <alignment vertical="center" wrapText="1"/>
    </xf>
    <xf numFmtId="165" fontId="11" fillId="0" borderId="27" xfId="60" applyNumberFormat="1" applyFont="1" applyFill="1" applyBorder="1" applyAlignment="1">
      <alignment horizontal="right" vertical="center" wrapText="1" indent="1"/>
    </xf>
    <xf numFmtId="165" fontId="11" fillId="0" borderId="25" xfId="60" applyNumberFormat="1" applyFont="1" applyFill="1" applyBorder="1" applyAlignment="1">
      <alignment horizontal="right" vertical="center" wrapText="1" indent="1"/>
    </xf>
    <xf numFmtId="165" fontId="9" fillId="0" borderId="22" xfId="60" applyNumberFormat="1" applyFont="1" applyFill="1" applyBorder="1" applyAlignment="1">
      <alignment horizontal="right" vertical="center" wrapText="1" indent="1"/>
    </xf>
    <xf numFmtId="165" fontId="9" fillId="0" borderId="23" xfId="48" applyNumberFormat="1" applyFont="1" applyFill="1" applyBorder="1" applyAlignment="1">
      <alignment vertical="center" wrapText="1"/>
    </xf>
    <xf numFmtId="0" fontId="9" fillId="0" borderId="23" xfId="48" applyFont="1" applyFill="1" applyBorder="1" applyAlignment="1">
      <alignment vertical="center" wrapText="1"/>
    </xf>
    <xf numFmtId="169" fontId="9" fillId="0" borderId="26" xfId="56" applyNumberFormat="1" applyFont="1" applyFill="1" applyBorder="1" applyAlignment="1">
      <alignment horizontal="right" vertical="center" wrapText="1" indent="1"/>
    </xf>
    <xf numFmtId="165" fontId="9" fillId="0" borderId="56" xfId="48" applyNumberFormat="1" applyFont="1" applyFill="1" applyBorder="1" applyAlignment="1">
      <alignment horizontal="right" vertical="center" wrapText="1" indent="1"/>
    </xf>
    <xf numFmtId="2" fontId="9" fillId="0" borderId="56" xfId="48" applyNumberFormat="1" applyFont="1" applyFill="1" applyBorder="1" applyAlignment="1">
      <alignment vertical="center" wrapText="1"/>
    </xf>
    <xf numFmtId="165" fontId="9" fillId="0" borderId="57" xfId="60" applyNumberFormat="1" applyFont="1" applyFill="1" applyBorder="1" applyAlignment="1">
      <alignment horizontal="right" vertical="center" wrapText="1" indent="1"/>
    </xf>
    <xf numFmtId="3" fontId="8" fillId="0" borderId="37" xfId="48" applyNumberFormat="1" applyFont="1" applyFill="1" applyBorder="1" applyAlignment="1">
      <alignment horizontal="left" vertical="center" wrapText="1" indent="2"/>
    </xf>
    <xf numFmtId="3" fontId="8" fillId="0" borderId="20" xfId="48" applyNumberFormat="1" applyFont="1" applyFill="1" applyBorder="1" applyAlignment="1">
      <alignment horizontal="right" vertical="center" wrapText="1" indent="1"/>
    </xf>
    <xf numFmtId="165" fontId="11" fillId="0" borderId="18" xfId="60" applyNumberFormat="1" applyFont="1" applyFill="1" applyBorder="1" applyAlignment="1">
      <alignment horizontal="right" vertical="center" wrapText="1" indent="1"/>
    </xf>
    <xf numFmtId="3" fontId="8" fillId="0" borderId="18" xfId="48" applyNumberFormat="1" applyFont="1" applyFill="1" applyBorder="1" applyAlignment="1">
      <alignment horizontal="right" vertical="center" wrapText="1" indent="1"/>
    </xf>
    <xf numFmtId="165" fontId="11" fillId="0" borderId="19" xfId="60" applyNumberFormat="1" applyFont="1" applyFill="1" applyBorder="1" applyAlignment="1">
      <alignment horizontal="right" vertical="center" wrapText="1" indent="1"/>
    </xf>
    <xf numFmtId="165" fontId="9" fillId="0" borderId="27" xfId="48" applyNumberFormat="1" applyFont="1" applyFill="1" applyBorder="1" applyAlignment="1">
      <alignment vertical="center" wrapText="1"/>
    </xf>
    <xf numFmtId="0" fontId="9" fillId="0" borderId="27" xfId="48" applyFont="1" applyFill="1" applyBorder="1" applyAlignment="1">
      <alignment vertical="center" wrapText="1"/>
    </xf>
    <xf numFmtId="165" fontId="9" fillId="0" borderId="25" xfId="60" applyNumberFormat="1" applyFont="1" applyFill="1" applyBorder="1" applyAlignment="1">
      <alignment horizontal="right" vertical="center" wrapText="1" indent="1"/>
    </xf>
    <xf numFmtId="165" fontId="9" fillId="0" borderId="18" xfId="48" applyNumberFormat="1" applyFont="1" applyFill="1" applyBorder="1" applyAlignment="1">
      <alignment vertical="center" wrapText="1"/>
    </xf>
    <xf numFmtId="0" fontId="9" fillId="0" borderId="18" xfId="48" applyFont="1" applyFill="1" applyBorder="1" applyAlignment="1">
      <alignment vertical="center" wrapText="1"/>
    </xf>
    <xf numFmtId="165" fontId="9" fillId="0" borderId="19" xfId="60" applyNumberFormat="1" applyFont="1" applyFill="1" applyBorder="1" applyAlignment="1">
      <alignment horizontal="right" vertical="center" wrapText="1" indent="1"/>
    </xf>
    <xf numFmtId="165" fontId="11" fillId="0" borderId="56" xfId="48" applyNumberFormat="1" applyFont="1" applyFill="1" applyBorder="1" applyAlignment="1">
      <alignment horizontal="center" vertical="center" wrapText="1"/>
    </xf>
    <xf numFmtId="165" fontId="11" fillId="0" borderId="57" xfId="60" applyNumberFormat="1" applyFont="1" applyFill="1" applyBorder="1" applyAlignment="1">
      <alignment horizontal="right" vertical="center" wrapText="1"/>
    </xf>
    <xf numFmtId="0" fontId="2" fillId="0" borderId="37" xfId="56" applyFont="1" applyFill="1" applyBorder="1" applyAlignment="1">
      <alignment horizontal="left" vertical="center" wrapText="1" indent="1"/>
    </xf>
    <xf numFmtId="3" fontId="2" fillId="0" borderId="21" xfId="56" applyNumberFormat="1" applyFont="1" applyFill="1" applyBorder="1" applyAlignment="1">
      <alignment horizontal="right" vertical="center" wrapText="1" indent="1"/>
    </xf>
    <xf numFmtId="9" fontId="3" fillId="0" borderId="18" xfId="60" applyFont="1" applyFill="1" applyBorder="1" applyAlignment="1">
      <alignment horizontal="center" vertical="center" wrapText="1"/>
    </xf>
    <xf numFmtId="3" fontId="2" fillId="0" borderId="18" xfId="56" applyNumberFormat="1" applyFont="1" applyFill="1" applyBorder="1" applyAlignment="1">
      <alignment horizontal="right" vertical="center" wrapText="1" indent="1"/>
    </xf>
    <xf numFmtId="9" fontId="8" fillId="0" borderId="19" xfId="60" applyFont="1" applyFill="1" applyBorder="1" applyAlignment="1">
      <alignment horizontal="center" vertical="center" wrapText="1"/>
    </xf>
    <xf numFmtId="169" fontId="9" fillId="0" borderId="61" xfId="56" applyNumberFormat="1" applyFont="1" applyFill="1" applyBorder="1" applyAlignment="1">
      <alignment horizontal="right" vertical="center" wrapText="1" indent="1"/>
    </xf>
    <xf numFmtId="169" fontId="9" fillId="0" borderId="60" xfId="56" applyNumberFormat="1" applyFont="1" applyFill="1" applyBorder="1" applyAlignment="1">
      <alignment horizontal="right" vertical="center" wrapText="1" indent="1"/>
    </xf>
    <xf numFmtId="169" fontId="9" fillId="0" borderId="62" xfId="56" applyNumberFormat="1" applyFont="1" applyFill="1" applyBorder="1" applyAlignment="1">
      <alignment horizontal="right" vertical="center" wrapText="1" indent="1"/>
    </xf>
    <xf numFmtId="169" fontId="8" fillId="0" borderId="20" xfId="56" applyNumberFormat="1" applyFont="1" applyFill="1" applyBorder="1" applyAlignment="1">
      <alignment horizontal="right" vertical="center" wrapText="1" indent="1"/>
    </xf>
    <xf numFmtId="169" fontId="8" fillId="0" borderId="38" xfId="56" applyNumberFormat="1" applyFont="1" applyFill="1" applyBorder="1" applyAlignment="1">
      <alignment horizontal="right" vertical="center" wrapText="1" indent="1"/>
    </xf>
    <xf numFmtId="3" fontId="9" fillId="0" borderId="22" xfId="48" applyNumberFormat="1" applyFont="1" applyFill="1" applyBorder="1" applyAlignment="1">
      <alignment horizontal="right" vertical="center" wrapText="1" indent="1"/>
    </xf>
    <xf numFmtId="3" fontId="9" fillId="0" borderId="25" xfId="48" applyNumberFormat="1" applyFont="1" applyFill="1" applyBorder="1" applyAlignment="1">
      <alignment horizontal="right" vertical="center" wrapText="1" indent="1"/>
    </xf>
    <xf numFmtId="169" fontId="2" fillId="0" borderId="21" xfId="56" applyNumberFormat="1" applyFont="1" applyFill="1" applyBorder="1" applyAlignment="1">
      <alignment horizontal="center" vertical="center" wrapText="1"/>
    </xf>
    <xf numFmtId="169" fontId="2" fillId="0" borderId="18" xfId="56" applyNumberFormat="1" applyFont="1" applyFill="1" applyBorder="1" applyAlignment="1">
      <alignment horizontal="center" vertical="center" wrapText="1"/>
    </xf>
    <xf numFmtId="169" fontId="2" fillId="0" borderId="19" xfId="56" applyNumberFormat="1" applyFont="1" applyFill="1" applyBorder="1" applyAlignment="1">
      <alignment horizontal="center" vertical="center" wrapText="1"/>
    </xf>
    <xf numFmtId="3" fontId="8" fillId="0" borderId="0" xfId="48" applyNumberFormat="1" applyFont="1" applyFill="1" applyBorder="1" applyAlignment="1">
      <alignment horizontal="center" vertical="center" wrapText="1"/>
    </xf>
    <xf numFmtId="3" fontId="8" fillId="0" borderId="51" xfId="48" applyNumberFormat="1" applyFont="1" applyFill="1" applyBorder="1" applyAlignment="1">
      <alignment horizontal="center" vertical="center" wrapText="1"/>
    </xf>
    <xf numFmtId="169" fontId="9" fillId="0" borderId="58" xfId="48" applyNumberFormat="1" applyFont="1" applyFill="1" applyBorder="1" applyAlignment="1">
      <alignment horizontal="right" vertical="center" wrapText="1" indent="1"/>
    </xf>
    <xf numFmtId="169" fontId="9" fillId="0" borderId="56" xfId="48" applyNumberFormat="1" applyFont="1" applyFill="1" applyBorder="1" applyAlignment="1">
      <alignment horizontal="right" vertical="center" wrapText="1" indent="1"/>
    </xf>
    <xf numFmtId="169" fontId="9" fillId="0" borderId="89" xfId="48" applyNumberFormat="1" applyFont="1" applyFill="1" applyBorder="1" applyAlignment="1">
      <alignment horizontal="right" vertical="center" wrapText="1" indent="1"/>
    </xf>
    <xf numFmtId="169" fontId="9" fillId="0" borderId="59" xfId="48" applyNumberFormat="1" applyFont="1" applyFill="1" applyBorder="1" applyAlignment="1">
      <alignment horizontal="right" vertical="center" wrapText="1" indent="1"/>
    </xf>
    <xf numFmtId="3" fontId="8" fillId="0" borderId="21" xfId="48" applyNumberFormat="1" applyFont="1" applyFill="1" applyBorder="1" applyAlignment="1">
      <alignment horizontal="right" vertical="center" wrapText="1" indent="1"/>
    </xf>
    <xf numFmtId="169" fontId="8" fillId="0" borderId="18" xfId="27" applyNumberFormat="1" applyFont="1" applyFill="1" applyBorder="1" applyAlignment="1">
      <alignment horizontal="right" vertical="center" wrapText="1" indent="1"/>
    </xf>
    <xf numFmtId="169" fontId="8" fillId="0" borderId="51" xfId="27" applyNumberFormat="1" applyFont="1" applyFill="1" applyBorder="1" applyAlignment="1">
      <alignment horizontal="right" vertical="center" wrapText="1" indent="1"/>
    </xf>
    <xf numFmtId="169" fontId="8" fillId="0" borderId="37" xfId="27" applyNumberFormat="1" applyFont="1" applyFill="1" applyBorder="1" applyAlignment="1">
      <alignment horizontal="right" vertical="center" wrapText="1" indent="1"/>
    </xf>
    <xf numFmtId="0" fontId="8" fillId="0" borderId="37" xfId="49" applyFont="1" applyFill="1" applyBorder="1" applyAlignment="1">
      <alignment horizontal="center" vertical="center" wrapText="1"/>
    </xf>
    <xf numFmtId="0" fontId="8" fillId="0" borderId="0" xfId="49" applyFont="1" applyFill="1" applyBorder="1" applyAlignment="1">
      <alignment horizontal="center" vertical="center" wrapText="1"/>
    </xf>
    <xf numFmtId="0" fontId="8" fillId="0" borderId="21" xfId="49" applyFont="1" applyFill="1" applyBorder="1" applyAlignment="1">
      <alignment horizontal="center" vertical="center" wrapText="1"/>
    </xf>
    <xf numFmtId="0" fontId="8" fillId="0" borderId="18" xfId="49" applyFont="1" applyFill="1" applyBorder="1" applyAlignment="1">
      <alignment horizontal="center" vertical="center" wrapText="1"/>
    </xf>
    <xf numFmtId="0" fontId="8" fillId="0" borderId="19" xfId="49" applyFont="1" applyFill="1" applyBorder="1" applyAlignment="1">
      <alignment horizontal="center" vertical="center" wrapText="1"/>
    </xf>
    <xf numFmtId="3" fontId="9" fillId="0" borderId="59" xfId="49" applyNumberFormat="1" applyFont="1" applyFill="1" applyBorder="1" applyAlignment="1">
      <alignment vertical="center" wrapText="1"/>
    </xf>
    <xf numFmtId="3" fontId="8" fillId="0" borderId="0" xfId="49" applyNumberFormat="1" applyFont="1" applyFill="1" applyBorder="1" applyAlignment="1">
      <alignment vertical="center" wrapText="1"/>
    </xf>
    <xf numFmtId="3" fontId="9" fillId="0" borderId="88" xfId="49" applyNumberFormat="1" applyFont="1" applyFill="1" applyBorder="1" applyAlignment="1">
      <alignment vertical="center" wrapText="1"/>
    </xf>
    <xf numFmtId="3" fontId="9" fillId="0" borderId="56" xfId="50" applyNumberFormat="1" applyFont="1" applyFill="1" applyBorder="1" applyAlignment="1">
      <alignment vertical="center" wrapText="1"/>
    </xf>
    <xf numFmtId="3" fontId="9" fillId="0" borderId="56" xfId="49" applyNumberFormat="1" applyFont="1" applyFill="1" applyBorder="1" applyAlignment="1">
      <alignment vertical="center" wrapText="1"/>
    </xf>
    <xf numFmtId="3" fontId="9" fillId="0" borderId="57" xfId="49" applyNumberFormat="1" applyFont="1" applyFill="1" applyBorder="1" applyAlignment="1">
      <alignment vertical="center" wrapText="1"/>
    </xf>
    <xf numFmtId="3" fontId="9" fillId="0" borderId="17" xfId="49" applyNumberFormat="1" applyFont="1" applyFill="1" applyBorder="1" applyAlignment="1">
      <alignment vertical="center" wrapText="1"/>
    </xf>
    <xf numFmtId="3" fontId="9" fillId="0" borderId="23" xfId="50" applyNumberFormat="1" applyFont="1" applyFill="1" applyBorder="1" applyAlignment="1">
      <alignment vertical="center" wrapText="1"/>
    </xf>
    <xf numFmtId="3" fontId="9" fillId="0" borderId="23" xfId="49" applyNumberFormat="1" applyFont="1" applyFill="1" applyBorder="1" applyAlignment="1">
      <alignment vertical="center" wrapText="1"/>
    </xf>
    <xf numFmtId="3" fontId="9" fillId="0" borderId="22" xfId="49" applyNumberFormat="1" applyFont="1" applyFill="1" applyBorder="1" applyAlignment="1">
      <alignment vertical="center" wrapText="1"/>
    </xf>
    <xf numFmtId="3" fontId="9" fillId="0" borderId="24" xfId="49" applyNumberFormat="1" applyFont="1" applyFill="1" applyBorder="1" applyAlignment="1">
      <alignment vertical="center" wrapText="1"/>
    </xf>
    <xf numFmtId="3" fontId="9" fillId="0" borderId="27" xfId="50" applyNumberFormat="1" applyFont="1" applyFill="1" applyBorder="1" applyAlignment="1">
      <alignment vertical="center" wrapText="1"/>
    </xf>
    <xf numFmtId="3" fontId="9" fillId="0" borderId="27" xfId="49" applyNumberFormat="1" applyFont="1" applyFill="1" applyBorder="1" applyAlignment="1">
      <alignment vertical="center" wrapText="1"/>
    </xf>
    <xf numFmtId="3" fontId="9" fillId="0" borderId="25" xfId="49" applyNumberFormat="1" applyFont="1" applyFill="1" applyBorder="1" applyAlignment="1">
      <alignment vertical="center" wrapText="1"/>
    </xf>
    <xf numFmtId="3" fontId="8" fillId="0" borderId="37" xfId="49" applyNumberFormat="1" applyFont="1" applyFill="1" applyBorder="1" applyAlignment="1">
      <alignment vertical="center" wrapText="1"/>
    </xf>
    <xf numFmtId="3" fontId="8" fillId="0" borderId="21" xfId="48" applyNumberFormat="1" applyFont="1" applyFill="1" applyBorder="1" applyAlignment="1">
      <alignment vertical="center" wrapText="1"/>
    </xf>
    <xf numFmtId="3" fontId="8" fillId="0" borderId="18" xfId="48" applyNumberFormat="1" applyFont="1" applyFill="1" applyBorder="1" applyAlignment="1">
      <alignment vertical="center" wrapText="1"/>
    </xf>
    <xf numFmtId="3" fontId="8" fillId="0" borderId="19" xfId="48" applyNumberFormat="1" applyFont="1" applyFill="1" applyBorder="1" applyAlignment="1">
      <alignment vertical="center" wrapText="1"/>
    </xf>
    <xf numFmtId="0" fontId="8" fillId="0" borderId="49" xfId="49" applyFont="1" applyFill="1" applyBorder="1" applyAlignment="1">
      <alignment horizontal="center"/>
    </xf>
    <xf numFmtId="0" fontId="8" fillId="0" borderId="51" xfId="49" applyFont="1" applyFill="1" applyBorder="1" applyAlignment="1">
      <alignment horizontal="center"/>
    </xf>
    <xf numFmtId="0" fontId="8" fillId="0" borderId="19" xfId="49" applyFont="1" applyFill="1" applyBorder="1" applyAlignment="1">
      <alignment horizontal="center"/>
    </xf>
    <xf numFmtId="3" fontId="9" fillId="0" borderId="90" xfId="49" applyNumberFormat="1" applyFont="1" applyFill="1" applyBorder="1" applyAlignment="1">
      <alignment vertical="center" wrapText="1"/>
    </xf>
    <xf numFmtId="3" fontId="8" fillId="0" borderId="64" xfId="49" applyNumberFormat="1" applyFont="1" applyFill="1" applyBorder="1" applyAlignment="1">
      <alignment horizontal="center" vertical="center" wrapText="1"/>
    </xf>
    <xf numFmtId="0" fontId="8" fillId="0" borderId="70" xfId="49" applyFont="1" applyFill="1" applyBorder="1" applyAlignment="1">
      <alignment horizontal="left" vertical="center" wrapText="1" indent="1"/>
    </xf>
    <xf numFmtId="0" fontId="9" fillId="0" borderId="29" xfId="96" quotePrefix="1" applyNumberFormat="1" applyFont="1" applyFill="1" applyBorder="1" applyAlignment="1" applyProtection="1">
      <alignment horizontal="left" vertical="center" wrapText="1" indent="1"/>
      <protection locked="0"/>
    </xf>
    <xf numFmtId="0" fontId="9" fillId="0" borderId="15" xfId="96" quotePrefix="1" applyNumberFormat="1" applyFont="1" applyFill="1" applyBorder="1" applyAlignment="1" applyProtection="1">
      <alignment horizontal="left" vertical="center" wrapText="1" indent="1"/>
      <protection locked="0"/>
    </xf>
    <xf numFmtId="0" fontId="9" fillId="0" borderId="16" xfId="96" quotePrefix="1" applyNumberFormat="1" applyFont="1" applyFill="1" applyBorder="1" applyAlignment="1" applyProtection="1">
      <alignment horizontal="left" vertical="center" wrapText="1" indent="1"/>
      <protection locked="0"/>
    </xf>
    <xf numFmtId="3" fontId="8" fillId="0" borderId="37" xfId="49" applyNumberFormat="1" applyFont="1" applyFill="1" applyBorder="1" applyAlignment="1">
      <alignment horizontal="center" vertical="center" wrapText="1"/>
    </xf>
    <xf numFmtId="0" fontId="9" fillId="0" borderId="59" xfId="49" applyFont="1" applyFill="1" applyBorder="1" applyAlignment="1">
      <alignment horizontal="left" vertical="center" wrapText="1" indent="1"/>
    </xf>
    <xf numFmtId="3" fontId="9" fillId="0" borderId="0" xfId="49" applyNumberFormat="1" applyFont="1" applyFill="1" applyAlignment="1">
      <alignment vertical="center" wrapText="1"/>
    </xf>
    <xf numFmtId="3" fontId="9" fillId="0" borderId="91" xfId="49" applyNumberFormat="1" applyFont="1" applyFill="1" applyBorder="1" applyAlignment="1">
      <alignment vertical="center" wrapText="1"/>
    </xf>
    <xf numFmtId="3" fontId="9" fillId="0" borderId="89" xfId="50" applyNumberFormat="1" applyFont="1" applyFill="1" applyBorder="1" applyAlignment="1">
      <alignment vertical="center" wrapText="1"/>
    </xf>
    <xf numFmtId="3" fontId="9" fillId="0" borderId="89" xfId="49" applyNumberFormat="1" applyFont="1" applyFill="1" applyBorder="1" applyAlignment="1">
      <alignment vertical="center" wrapText="1"/>
    </xf>
    <xf numFmtId="3" fontId="9" fillId="0" borderId="54" xfId="49" applyNumberFormat="1" applyFont="1" applyFill="1" applyBorder="1" applyAlignment="1">
      <alignment vertical="center" wrapText="1"/>
    </xf>
    <xf numFmtId="3" fontId="9" fillId="0" borderId="47" xfId="50" applyNumberFormat="1" applyFont="1" applyFill="1" applyBorder="1" applyAlignment="1">
      <alignment vertical="center" wrapText="1"/>
    </xf>
    <xf numFmtId="3" fontId="9" fillId="0" borderId="47" xfId="49" applyNumberFormat="1" applyFont="1" applyFill="1" applyBorder="1" applyAlignment="1">
      <alignment vertical="center" wrapText="1"/>
    </xf>
    <xf numFmtId="3" fontId="9" fillId="0" borderId="52" xfId="49" applyNumberFormat="1" applyFont="1" applyFill="1" applyBorder="1" applyAlignment="1">
      <alignment vertical="center" wrapText="1"/>
    </xf>
    <xf numFmtId="3" fontId="9" fillId="0" borderId="92" xfId="50" applyNumberFormat="1" applyFont="1" applyFill="1" applyBorder="1" applyAlignment="1">
      <alignment vertical="center" wrapText="1"/>
    </xf>
    <xf numFmtId="3" fontId="9" fillId="0" borderId="92" xfId="49" applyNumberFormat="1" applyFont="1" applyFill="1" applyBorder="1" applyAlignment="1">
      <alignment vertical="center" wrapText="1"/>
    </xf>
    <xf numFmtId="3" fontId="9" fillId="0" borderId="48" xfId="49" applyNumberFormat="1" applyFont="1" applyFill="1" applyBorder="1" applyAlignment="1">
      <alignment vertical="center" wrapText="1"/>
    </xf>
    <xf numFmtId="0" fontId="8" fillId="0" borderId="37" xfId="49" applyFont="1" applyFill="1" applyBorder="1" applyAlignment="1">
      <alignment horizontal="left" vertical="center" wrapText="1" indent="1"/>
    </xf>
    <xf numFmtId="3" fontId="8" fillId="0" borderId="38" xfId="49" applyNumberFormat="1" applyFont="1" applyFill="1" applyBorder="1" applyAlignment="1">
      <alignment vertical="center" wrapText="1"/>
    </xf>
    <xf numFmtId="0" fontId="8" fillId="0" borderId="51" xfId="49" applyFont="1" applyFill="1" applyBorder="1" applyAlignment="1">
      <alignment horizontal="center" vertical="center" wrapText="1"/>
    </xf>
    <xf numFmtId="169" fontId="8" fillId="0" borderId="29" xfId="49" applyNumberFormat="1" applyFont="1" applyFill="1" applyBorder="1" applyAlignment="1">
      <alignment horizontal="right" vertical="center" wrapText="1" indent="1"/>
    </xf>
    <xf numFmtId="169" fontId="8" fillId="0" borderId="15" xfId="49" applyNumberFormat="1" applyFont="1" applyFill="1" applyBorder="1" applyAlignment="1">
      <alignment horizontal="right" vertical="center" wrapText="1" indent="1"/>
    </xf>
    <xf numFmtId="169" fontId="8" fillId="0" borderId="16" xfId="49" applyNumberFormat="1" applyFont="1" applyFill="1" applyBorder="1" applyAlignment="1">
      <alignment horizontal="right" vertical="center" wrapText="1" indent="1"/>
    </xf>
    <xf numFmtId="169" fontId="8" fillId="0" borderId="48" xfId="28" applyNumberFormat="1" applyFont="1" applyFill="1" applyBorder="1" applyAlignment="1">
      <alignment horizontal="right" vertical="center" wrapText="1" indent="1"/>
    </xf>
    <xf numFmtId="3" fontId="8" fillId="0" borderId="29" xfId="49" applyNumberFormat="1" applyFont="1" applyFill="1" applyBorder="1" applyAlignment="1">
      <alignment horizontal="left" vertical="center" wrapText="1" indent="1"/>
    </xf>
    <xf numFmtId="3" fontId="8" fillId="0" borderId="15" xfId="49" applyNumberFormat="1" applyFont="1" applyFill="1" applyBorder="1" applyAlignment="1">
      <alignment horizontal="left" vertical="center" wrapText="1" indent="1"/>
    </xf>
    <xf numFmtId="3" fontId="8" fillId="0" borderId="16" xfId="49" applyNumberFormat="1" applyFont="1" applyFill="1" applyBorder="1" applyAlignment="1">
      <alignment horizontal="left" vertical="center" wrapText="1" indent="1"/>
    </xf>
    <xf numFmtId="0" fontId="8" fillId="0" borderId="21" xfId="53" applyFont="1" applyFill="1" applyBorder="1" applyAlignment="1">
      <alignment horizontal="center" vertical="center" wrapText="1"/>
    </xf>
    <xf numFmtId="0" fontId="8" fillId="0" borderId="18" xfId="53" applyFont="1" applyFill="1" applyBorder="1" applyAlignment="1">
      <alignment horizontal="center" vertical="center" wrapText="1"/>
    </xf>
    <xf numFmtId="0" fontId="8" fillId="0" borderId="19" xfId="53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right" vertical="center" wrapText="1" indent="1"/>
    </xf>
    <xf numFmtId="3" fontId="9" fillId="0" borderId="53" xfId="0" applyNumberFormat="1" applyFont="1" applyFill="1" applyBorder="1" applyAlignment="1">
      <alignment horizontal="right" vertical="center" wrapText="1" indent="1"/>
    </xf>
    <xf numFmtId="3" fontId="8" fillId="0" borderId="31" xfId="53" applyNumberFormat="1" applyFont="1" applyFill="1" applyBorder="1" applyAlignment="1">
      <alignment horizontal="right" vertical="center" wrapText="1" indent="1"/>
    </xf>
    <xf numFmtId="3" fontId="9" fillId="0" borderId="88" xfId="0" applyNumberFormat="1" applyFont="1" applyFill="1" applyBorder="1" applyAlignment="1">
      <alignment horizontal="right" vertical="center" wrapText="1" indent="1"/>
    </xf>
    <xf numFmtId="3" fontId="9" fillId="0" borderId="56" xfId="0" applyNumberFormat="1" applyFont="1" applyFill="1" applyBorder="1" applyAlignment="1">
      <alignment horizontal="right" vertical="center" wrapText="1" indent="1"/>
    </xf>
    <xf numFmtId="3" fontId="8" fillId="0" borderId="57" xfId="53" applyNumberFormat="1" applyFont="1" applyFill="1" applyBorder="1" applyAlignment="1">
      <alignment horizontal="right" vertical="center" wrapText="1" indent="1"/>
    </xf>
    <xf numFmtId="3" fontId="9" fillId="0" borderId="17" xfId="0" applyNumberFormat="1" applyFont="1" applyFill="1" applyBorder="1" applyAlignment="1">
      <alignment horizontal="right" vertical="center" wrapText="1" indent="1"/>
    </xf>
    <xf numFmtId="3" fontId="9" fillId="0" borderId="23" xfId="0" applyNumberFormat="1" applyFont="1" applyFill="1" applyBorder="1" applyAlignment="1">
      <alignment horizontal="right" vertical="center" wrapText="1" indent="1"/>
    </xf>
    <xf numFmtId="3" fontId="8" fillId="0" borderId="22" xfId="53" applyNumberFormat="1" applyFont="1" applyFill="1" applyBorder="1" applyAlignment="1">
      <alignment horizontal="right" vertical="center" wrapText="1" indent="1"/>
    </xf>
    <xf numFmtId="3" fontId="9" fillId="0" borderId="17" xfId="46" applyNumberFormat="1" applyFont="1" applyFill="1" applyBorder="1" applyAlignment="1">
      <alignment horizontal="right" vertical="center" wrapText="1" indent="1"/>
    </xf>
    <xf numFmtId="3" fontId="9" fillId="0" borderId="23" xfId="46" applyNumberFormat="1" applyFont="1" applyFill="1" applyBorder="1" applyAlignment="1">
      <alignment horizontal="right" vertical="center" wrapText="1" indent="1"/>
    </xf>
    <xf numFmtId="3" fontId="8" fillId="0" borderId="22" xfId="54" applyNumberFormat="1" applyFont="1" applyFill="1" applyBorder="1" applyAlignment="1">
      <alignment horizontal="right" vertical="center" wrapText="1" indent="1"/>
    </xf>
    <xf numFmtId="3" fontId="9" fillId="0" borderId="17" xfId="41" applyNumberFormat="1" applyFont="1" applyFill="1" applyBorder="1" applyAlignment="1">
      <alignment horizontal="right" vertical="center" wrapText="1" indent="1"/>
    </xf>
    <xf numFmtId="3" fontId="9" fillId="0" borderId="23" xfId="41" applyNumberFormat="1" applyFont="1" applyFill="1" applyBorder="1" applyAlignment="1">
      <alignment horizontal="right" vertical="center" wrapText="1" indent="1"/>
    </xf>
    <xf numFmtId="3" fontId="9" fillId="0" borderId="23" xfId="41" applyNumberFormat="1" applyFont="1" applyFill="1" applyBorder="1" applyAlignment="1">
      <alignment vertical="center" wrapText="1"/>
    </xf>
    <xf numFmtId="3" fontId="9" fillId="0" borderId="17" xfId="53" applyNumberFormat="1" applyFont="1" applyFill="1" applyBorder="1" applyAlignment="1">
      <alignment horizontal="right" vertical="center" wrapText="1" indent="1"/>
    </xf>
    <xf numFmtId="3" fontId="9" fillId="0" borderId="24" xfId="0" applyNumberFormat="1" applyFont="1" applyFill="1" applyBorder="1" applyAlignment="1">
      <alignment horizontal="right" vertical="center" wrapText="1" indent="1"/>
    </xf>
    <xf numFmtId="3" fontId="9" fillId="0" borderId="27" xfId="0" applyNumberFormat="1" applyFont="1" applyFill="1" applyBorder="1" applyAlignment="1">
      <alignment horizontal="right" vertical="center" wrapText="1" indent="1"/>
    </xf>
    <xf numFmtId="3" fontId="8" fillId="0" borderId="25" xfId="53" applyNumberFormat="1" applyFont="1" applyFill="1" applyBorder="1" applyAlignment="1">
      <alignment horizontal="right" vertical="center" wrapText="1" indent="1"/>
    </xf>
    <xf numFmtId="0" fontId="75" fillId="0" borderId="37" xfId="47" applyFont="1" applyFill="1" applyBorder="1" applyAlignment="1">
      <alignment horizontal="center" vertical="center"/>
    </xf>
    <xf numFmtId="3" fontId="8" fillId="0" borderId="21" xfId="41" applyNumberFormat="1" applyFont="1" applyFill="1" applyBorder="1" applyAlignment="1">
      <alignment horizontal="right" vertical="center" wrapText="1" indent="1"/>
    </xf>
    <xf numFmtId="3" fontId="9" fillId="0" borderId="18" xfId="41" applyNumberFormat="1" applyFont="1" applyFill="1" applyBorder="1" applyAlignment="1">
      <alignment horizontal="right" vertical="center" wrapText="1" indent="1"/>
    </xf>
    <xf numFmtId="3" fontId="9" fillId="0" borderId="18" xfId="41" applyNumberFormat="1" applyFont="1" applyFill="1" applyBorder="1" applyAlignment="1">
      <alignment vertical="center" wrapText="1"/>
    </xf>
    <xf numFmtId="3" fontId="8" fillId="0" borderId="19" xfId="53" applyNumberFormat="1" applyFont="1" applyFill="1" applyBorder="1" applyAlignment="1">
      <alignment horizontal="right" vertical="center" wrapText="1" indent="1"/>
    </xf>
    <xf numFmtId="3" fontId="9" fillId="0" borderId="21" xfId="41" applyNumberFormat="1" applyFont="1" applyFill="1" applyBorder="1" applyAlignment="1">
      <alignment horizontal="right" vertical="center" wrapText="1" indent="1"/>
    </xf>
    <xf numFmtId="0" fontId="8" fillId="0" borderId="49" xfId="49" applyFont="1" applyFill="1" applyBorder="1" applyAlignment="1">
      <alignment horizontal="center" vertical="center" wrapText="1"/>
    </xf>
    <xf numFmtId="3" fontId="0" fillId="0" borderId="56" xfId="0" applyNumberFormat="1" applyFill="1" applyBorder="1" applyAlignment="1">
      <alignment vertical="center"/>
    </xf>
    <xf numFmtId="3" fontId="0" fillId="0" borderId="23" xfId="0" applyNumberFormat="1" applyFill="1" applyBorder="1" applyAlignment="1">
      <alignment vertical="center"/>
    </xf>
    <xf numFmtId="3" fontId="0" fillId="0" borderId="27" xfId="0" applyNumberFormat="1" applyFill="1" applyBorder="1" applyAlignment="1">
      <alignment vertical="center"/>
    </xf>
    <xf numFmtId="3" fontId="61" fillId="0" borderId="18" xfId="0" applyNumberFormat="1" applyFont="1" applyFill="1" applyBorder="1" applyAlignment="1">
      <alignment vertical="center"/>
    </xf>
    <xf numFmtId="0" fontId="0" fillId="0" borderId="64" xfId="0" applyNumberFormat="1" applyFill="1" applyBorder="1"/>
    <xf numFmtId="3" fontId="0" fillId="0" borderId="93" xfId="0" applyNumberFormat="1" applyFill="1" applyBorder="1"/>
    <xf numFmtId="0" fontId="0" fillId="0" borderId="94" xfId="0" applyNumberFormat="1" applyFill="1" applyBorder="1"/>
    <xf numFmtId="0" fontId="2" fillId="0" borderId="63" xfId="0" applyFont="1" applyFill="1" applyBorder="1" applyAlignment="1">
      <alignment horizontal="left" indent="1"/>
    </xf>
    <xf numFmtId="0" fontId="0" fillId="0" borderId="63" xfId="0" applyFill="1" applyBorder="1" applyAlignment="1">
      <alignment horizontal="left" indent="2"/>
    </xf>
    <xf numFmtId="10" fontId="4" fillId="0" borderId="95" xfId="0" applyNumberFormat="1" applyFont="1" applyFill="1" applyBorder="1"/>
    <xf numFmtId="0" fontId="7" fillId="0" borderId="0" xfId="0" applyFont="1" applyBorder="1" applyAlignment="1">
      <alignment vertical="center" wrapText="1"/>
    </xf>
    <xf numFmtId="3" fontId="0" fillId="0" borderId="96" xfId="0" applyNumberFormat="1" applyFill="1" applyBorder="1"/>
    <xf numFmtId="10" fontId="4" fillId="0" borderId="29" xfId="60" applyNumberFormat="1" applyFont="1" applyFill="1" applyBorder="1"/>
    <xf numFmtId="0" fontId="0" fillId="0" borderId="45" xfId="0" applyNumberFormat="1" applyFill="1" applyBorder="1"/>
    <xf numFmtId="0" fontId="0" fillId="0" borderId="35" xfId="0" applyNumberFormat="1" applyFill="1" applyBorder="1"/>
    <xf numFmtId="0" fontId="0" fillId="0" borderId="97" xfId="0" applyFill="1" applyBorder="1"/>
    <xf numFmtId="10" fontId="4" fillId="0" borderId="16" xfId="60" applyNumberFormat="1" applyFont="1" applyFill="1" applyBorder="1"/>
    <xf numFmtId="0" fontId="0" fillId="0" borderId="36" xfId="0" applyFill="1" applyBorder="1"/>
    <xf numFmtId="0" fontId="2" fillId="0" borderId="29" xfId="0" applyFont="1" applyFill="1" applyBorder="1" applyAlignment="1">
      <alignment horizontal="left"/>
    </xf>
    <xf numFmtId="166" fontId="71" fillId="0" borderId="38" xfId="27" applyNumberFormat="1" applyFont="1" applyFill="1" applyBorder="1" applyAlignment="1">
      <alignment horizontal="right"/>
    </xf>
    <xf numFmtId="173" fontId="71" fillId="0" borderId="37" xfId="27" applyNumberFormat="1" applyFont="1" applyFill="1" applyBorder="1" applyAlignment="1"/>
    <xf numFmtId="3" fontId="8" fillId="0" borderId="18" xfId="48" applyNumberFormat="1" applyFont="1" applyFill="1" applyBorder="1" applyAlignment="1">
      <alignment horizontal="right" vertical="center" wrapText="1"/>
    </xf>
    <xf numFmtId="3" fontId="9" fillId="0" borderId="58" xfId="48" applyNumberFormat="1" applyFont="1" applyFill="1" applyBorder="1" applyAlignment="1">
      <alignment horizontal="right" vertical="center" wrapText="1"/>
    </xf>
    <xf numFmtId="3" fontId="9" fillId="0" borderId="56" xfId="48" applyNumberFormat="1" applyFont="1" applyFill="1" applyBorder="1" applyAlignment="1">
      <alignment horizontal="right" vertical="center" wrapText="1"/>
    </xf>
    <xf numFmtId="3" fontId="76" fillId="0" borderId="56" xfId="0" applyNumberFormat="1" applyFont="1" applyFill="1" applyBorder="1" applyAlignment="1">
      <alignment horizontal="right"/>
    </xf>
    <xf numFmtId="3" fontId="76" fillId="0" borderId="57" xfId="0" applyNumberFormat="1" applyFont="1" applyFill="1" applyBorder="1" applyAlignment="1">
      <alignment horizontal="right"/>
    </xf>
    <xf numFmtId="3" fontId="9" fillId="0" borderId="13" xfId="48" applyNumberFormat="1" applyFont="1" applyFill="1" applyBorder="1" applyAlignment="1">
      <alignment horizontal="right" vertical="center" wrapText="1"/>
    </xf>
    <xf numFmtId="3" fontId="9" fillId="0" borderId="23" xfId="48" applyNumberFormat="1" applyFont="1" applyFill="1" applyBorder="1" applyAlignment="1">
      <alignment horizontal="right" vertical="center" wrapText="1"/>
    </xf>
    <xf numFmtId="3" fontId="76" fillId="0" borderId="23" xfId="0" applyNumberFormat="1" applyFont="1" applyFill="1" applyBorder="1" applyAlignment="1">
      <alignment horizontal="right"/>
    </xf>
    <xf numFmtId="3" fontId="76" fillId="0" borderId="22" xfId="0" applyNumberFormat="1" applyFont="1" applyFill="1" applyBorder="1" applyAlignment="1">
      <alignment horizontal="right"/>
    </xf>
    <xf numFmtId="3" fontId="9" fillId="0" borderId="26" xfId="48" applyNumberFormat="1" applyFont="1" applyFill="1" applyBorder="1" applyAlignment="1">
      <alignment horizontal="right" vertical="center" wrapText="1"/>
    </xf>
    <xf numFmtId="3" fontId="9" fillId="0" borderId="27" xfId="48" applyNumberFormat="1" applyFont="1" applyFill="1" applyBorder="1" applyAlignment="1">
      <alignment horizontal="right" vertical="center" wrapText="1"/>
    </xf>
    <xf numFmtId="3" fontId="8" fillId="0" borderId="20" xfId="48" applyNumberFormat="1" applyFont="1" applyFill="1" applyBorder="1" applyAlignment="1">
      <alignment horizontal="right" vertical="center" wrapText="1"/>
    </xf>
    <xf numFmtId="3" fontId="8" fillId="0" borderId="51" xfId="48" applyNumberFormat="1" applyFont="1" applyFill="1" applyBorder="1" applyAlignment="1">
      <alignment horizontal="right" vertical="center" wrapText="1"/>
    </xf>
    <xf numFmtId="3" fontId="8" fillId="0" borderId="19" xfId="48" applyNumberFormat="1" applyFont="1" applyFill="1" applyBorder="1" applyAlignment="1">
      <alignment horizontal="right" vertical="center" wrapText="1"/>
    </xf>
    <xf numFmtId="3" fontId="50" fillId="0" borderId="0" xfId="48" applyNumberFormat="1" applyFont="1" applyFill="1" applyAlignment="1">
      <alignment vertical="center" wrapText="1"/>
    </xf>
    <xf numFmtId="0" fontId="2" fillId="0" borderId="29" xfId="0" applyFont="1" applyFill="1" applyBorder="1" applyAlignment="1">
      <alignment horizontal="center" vertical="center"/>
    </xf>
    <xf numFmtId="168" fontId="68" fillId="0" borderId="55" xfId="0" applyNumberFormat="1" applyFont="1" applyBorder="1" applyAlignment="1">
      <alignment horizontal="center" vertical="center" textRotation="90" wrapText="1"/>
    </xf>
    <xf numFmtId="4" fontId="68" fillId="0" borderId="35" xfId="0" applyNumberFormat="1" applyFont="1" applyBorder="1" applyAlignment="1">
      <alignment horizontal="center" vertical="center" textRotation="90" wrapText="1"/>
    </xf>
    <xf numFmtId="4" fontId="68" fillId="0" borderId="55" xfId="0" applyNumberFormat="1" applyFont="1" applyBorder="1" applyAlignment="1">
      <alignment horizontal="center" vertical="center" textRotation="90" wrapText="1"/>
    </xf>
    <xf numFmtId="3" fontId="8" fillId="0" borderId="38" xfId="48" applyNumberFormat="1" applyFont="1" applyFill="1" applyBorder="1" applyAlignment="1">
      <alignment horizontal="center" vertical="center" wrapText="1"/>
    </xf>
    <xf numFmtId="169" fontId="9" fillId="0" borderId="90" xfId="48" applyNumberFormat="1" applyFont="1" applyFill="1" applyBorder="1" applyAlignment="1">
      <alignment horizontal="right" vertical="center" wrapText="1" indent="1"/>
    </xf>
    <xf numFmtId="169" fontId="8" fillId="0" borderId="38" xfId="27" applyNumberFormat="1" applyFont="1" applyFill="1" applyBorder="1" applyAlignment="1">
      <alignment horizontal="right" vertical="center" wrapText="1" indent="1"/>
    </xf>
    <xf numFmtId="0" fontId="0" fillId="0" borderId="63" xfId="0" applyNumberFormat="1" applyFill="1" applyBorder="1"/>
    <xf numFmtId="0" fontId="2" fillId="0" borderId="15" xfId="0" applyFont="1" applyFill="1" applyBorder="1" applyAlignment="1">
      <alignment horizontal="center" vertical="center"/>
    </xf>
    <xf numFmtId="4" fontId="69" fillId="0" borderId="87" xfId="0" applyNumberFormat="1" applyFont="1" applyBorder="1" applyAlignment="1">
      <alignment horizontal="center" vertical="center" wrapText="1"/>
    </xf>
    <xf numFmtId="168" fontId="69" fillId="0" borderId="98" xfId="0" applyNumberFormat="1" applyFont="1" applyFill="1" applyBorder="1" applyAlignment="1">
      <alignment horizontal="center" vertical="center" wrapText="1"/>
    </xf>
    <xf numFmtId="168" fontId="68" fillId="0" borderId="34" xfId="0" applyNumberFormat="1" applyFont="1" applyBorder="1" applyAlignment="1">
      <alignment horizontal="center" vertical="center" textRotation="90" wrapText="1"/>
    </xf>
    <xf numFmtId="168" fontId="69" fillId="0" borderId="42" xfId="0" applyNumberFormat="1" applyFont="1" applyFill="1" applyBorder="1" applyAlignment="1">
      <alignment horizontal="center" vertical="center" wrapText="1"/>
    </xf>
    <xf numFmtId="4" fontId="69" fillId="0" borderId="67" xfId="0" applyNumberFormat="1" applyFont="1" applyBorder="1" applyAlignment="1">
      <alignment horizontal="center" vertical="center" wrapText="1"/>
    </xf>
    <xf numFmtId="168" fontId="69" fillId="0" borderId="67" xfId="0" applyNumberFormat="1" applyFont="1" applyFill="1" applyBorder="1" applyAlignment="1">
      <alignment horizontal="center" vertical="center" wrapText="1"/>
    </xf>
    <xf numFmtId="4" fontId="69" fillId="0" borderId="43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Font="1" applyBorder="1"/>
    <xf numFmtId="0" fontId="0" fillId="0" borderId="23" xfId="0" applyFont="1" applyBorder="1"/>
    <xf numFmtId="3" fontId="67" fillId="0" borderId="23" xfId="0" applyNumberFormat="1" applyFont="1" applyFill="1" applyBorder="1" applyAlignment="1">
      <alignment horizontal="left" vertical="center" wrapText="1"/>
    </xf>
    <xf numFmtId="0" fontId="0" fillId="0" borderId="23" xfId="0" applyFont="1" applyBorder="1" applyAlignment="1">
      <alignment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3" fontId="9" fillId="0" borderId="89" xfId="48" applyNumberFormat="1" applyFont="1" applyFill="1" applyBorder="1" applyAlignment="1">
      <alignment vertical="center" wrapText="1"/>
    </xf>
    <xf numFmtId="3" fontId="9" fillId="0" borderId="59" xfId="48" applyNumberFormat="1" applyFont="1" applyFill="1" applyBorder="1" applyAlignment="1">
      <alignment horizontal="right" vertical="center" wrapText="1" indent="1"/>
    </xf>
    <xf numFmtId="0" fontId="0" fillId="0" borderId="23" xfId="0" applyFont="1" applyFill="1" applyBorder="1"/>
    <xf numFmtId="0" fontId="0" fillId="0" borderId="0" xfId="0" applyAlignment="1">
      <alignment horizontal="left" vertical="center"/>
    </xf>
    <xf numFmtId="0" fontId="9" fillId="0" borderId="49" xfId="0" applyFont="1" applyFill="1" applyBorder="1"/>
    <xf numFmtId="0" fontId="8" fillId="0" borderId="28" xfId="0" applyFont="1" applyFill="1" applyBorder="1" applyAlignment="1">
      <alignment horizontal="left" vertical="center" indent="1"/>
    </xf>
    <xf numFmtId="0" fontId="8" fillId="0" borderId="29" xfId="0" applyFont="1" applyFill="1" applyBorder="1" applyAlignment="1">
      <alignment horizontal="left" vertical="center" indent="1"/>
    </xf>
    <xf numFmtId="3" fontId="9" fillId="0" borderId="30" xfId="27" applyNumberFormat="1" applyFont="1" applyFill="1" applyBorder="1" applyAlignment="1">
      <alignment horizontal="right" indent="1"/>
    </xf>
    <xf numFmtId="3" fontId="9" fillId="0" borderId="53" xfId="27" applyNumberFormat="1" applyFont="1" applyFill="1" applyBorder="1" applyAlignment="1">
      <alignment horizontal="right" indent="1"/>
    </xf>
    <xf numFmtId="2" fontId="11" fillId="0" borderId="31" xfId="27" applyNumberFormat="1" applyFont="1" applyFill="1" applyBorder="1" applyAlignment="1">
      <alignment horizontal="right" indent="1"/>
    </xf>
    <xf numFmtId="3" fontId="9" fillId="0" borderId="41" xfId="27" applyNumberFormat="1" applyFont="1" applyFill="1" applyBorder="1" applyAlignment="1">
      <alignment horizontal="right" indent="1"/>
    </xf>
    <xf numFmtId="2" fontId="11" fillId="0" borderId="53" xfId="27" applyNumberFormat="1" applyFont="1" applyFill="1" applyBorder="1" applyAlignment="1">
      <alignment horizontal="right" indent="1"/>
    </xf>
    <xf numFmtId="0" fontId="0" fillId="0" borderId="64" xfId="0" applyBorder="1"/>
    <xf numFmtId="0" fontId="0" fillId="0" borderId="37" xfId="0" applyBorder="1"/>
    <xf numFmtId="0" fontId="2" fillId="0" borderId="15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wrapText="1"/>
    </xf>
    <xf numFmtId="0" fontId="77" fillId="0" borderId="86" xfId="40" applyFont="1" applyFill="1" applyBorder="1" applyAlignment="1">
      <alignment horizontal="center" vertical="center"/>
    </xf>
    <xf numFmtId="0" fontId="77" fillId="0" borderId="86" xfId="0" applyFont="1" applyFill="1" applyBorder="1" applyAlignment="1">
      <alignment horizontal="center" vertical="center" wrapText="1"/>
    </xf>
    <xf numFmtId="0" fontId="77" fillId="0" borderId="99" xfId="0" applyFont="1" applyFill="1" applyBorder="1" applyAlignment="1">
      <alignment horizontal="center" vertical="center" wrapText="1"/>
    </xf>
    <xf numFmtId="0" fontId="77" fillId="0" borderId="16" xfId="0" applyFont="1" applyFill="1" applyBorder="1" applyAlignment="1">
      <alignment horizontal="left" vertical="center"/>
    </xf>
    <xf numFmtId="166" fontId="71" fillId="0" borderId="32" xfId="27" applyNumberFormat="1" applyFont="1" applyFill="1" applyBorder="1" applyAlignment="1"/>
    <xf numFmtId="166" fontId="71" fillId="0" borderId="33" xfId="27" applyNumberFormat="1" applyFont="1" applyFill="1" applyBorder="1" applyAlignment="1"/>
    <xf numFmtId="166" fontId="71" fillId="0" borderId="33" xfId="27" applyNumberFormat="1" applyFont="1" applyFill="1" applyBorder="1" applyAlignment="1">
      <alignment horizontal="right"/>
    </xf>
    <xf numFmtId="166" fontId="71" fillId="0" borderId="44" xfId="27" applyNumberFormat="1" applyFont="1" applyFill="1" applyBorder="1" applyAlignment="1">
      <alignment horizontal="right"/>
    </xf>
    <xf numFmtId="166" fontId="71" fillId="0" borderId="36" xfId="27" applyNumberFormat="1" applyFont="1" applyFill="1" applyBorder="1" applyAlignment="1">
      <alignment horizontal="right"/>
    </xf>
    <xf numFmtId="173" fontId="71" fillId="0" borderId="29" xfId="27" applyNumberFormat="1" applyFont="1" applyFill="1" applyBorder="1" applyAlignment="1"/>
    <xf numFmtId="173" fontId="71" fillId="0" borderId="15" xfId="27" applyNumberFormat="1" applyFont="1" applyFill="1" applyBorder="1" applyAlignment="1"/>
    <xf numFmtId="173" fontId="71" fillId="0" borderId="28" xfId="27" applyNumberFormat="1" applyFont="1" applyFill="1" applyBorder="1" applyAlignment="1"/>
    <xf numFmtId="173" fontId="71" fillId="0" borderId="16" xfId="27" applyNumberFormat="1" applyFont="1" applyFill="1" applyBorder="1" applyAlignment="1"/>
    <xf numFmtId="3" fontId="8" fillId="0" borderId="15" xfId="51" applyNumberFormat="1" applyFont="1" applyFill="1" applyBorder="1" applyAlignment="1">
      <alignment vertical="center"/>
    </xf>
    <xf numFmtId="3" fontId="8" fillId="0" borderId="37" xfId="51" applyNumberFormat="1" applyFont="1" applyBorder="1" applyAlignment="1">
      <alignment vertical="center" wrapText="1"/>
    </xf>
    <xf numFmtId="3" fontId="8" fillId="0" borderId="49" xfId="48" applyNumberFormat="1" applyFont="1" applyFill="1" applyBorder="1" applyAlignment="1">
      <alignment vertical="center" wrapText="1"/>
    </xf>
    <xf numFmtId="3" fontId="8" fillId="0" borderId="77" xfId="48" applyNumberFormat="1" applyFont="1" applyFill="1" applyBorder="1" applyAlignment="1">
      <alignment vertical="center" wrapText="1"/>
    </xf>
    <xf numFmtId="3" fontId="9" fillId="0" borderId="49" xfId="48" applyNumberFormat="1" applyFont="1" applyFill="1" applyBorder="1" applyAlignment="1">
      <alignment vertical="center"/>
    </xf>
    <xf numFmtId="3" fontId="9" fillId="0" borderId="77" xfId="48" applyNumberFormat="1" applyFont="1" applyFill="1" applyBorder="1" applyAlignment="1">
      <alignment vertical="center"/>
    </xf>
    <xf numFmtId="3" fontId="9" fillId="0" borderId="48" xfId="48" applyNumberFormat="1" applyFont="1" applyFill="1" applyBorder="1" applyAlignment="1">
      <alignment vertical="center" wrapText="1"/>
    </xf>
    <xf numFmtId="3" fontId="9" fillId="0" borderId="37" xfId="48" applyNumberFormat="1" applyFont="1" applyFill="1" applyBorder="1" applyAlignment="1">
      <alignment vertical="top"/>
    </xf>
    <xf numFmtId="3" fontId="9" fillId="0" borderId="81" xfId="48" applyNumberFormat="1" applyFont="1" applyFill="1" applyBorder="1" applyAlignment="1">
      <alignment vertical="top"/>
    </xf>
    <xf numFmtId="3" fontId="9" fillId="0" borderId="48" xfId="48" applyNumberFormat="1" applyFont="1" applyFill="1" applyBorder="1" applyAlignment="1">
      <alignment vertical="top"/>
    </xf>
    <xf numFmtId="3" fontId="9" fillId="0" borderId="100" xfId="48" applyNumberFormat="1" applyFont="1" applyFill="1" applyBorder="1" applyAlignment="1">
      <alignment vertical="center" wrapText="1"/>
    </xf>
    <xf numFmtId="3" fontId="9" fillId="0" borderId="101" xfId="48" applyNumberFormat="1" applyFont="1" applyFill="1" applyBorder="1" applyAlignment="1">
      <alignment vertical="center" wrapText="1"/>
    </xf>
    <xf numFmtId="3" fontId="9" fillId="0" borderId="40" xfId="48" applyNumberFormat="1" applyFont="1" applyFill="1" applyBorder="1" applyAlignment="1">
      <alignment vertical="center" wrapText="1"/>
    </xf>
    <xf numFmtId="3" fontId="9" fillId="0" borderId="32" xfId="48" applyNumberFormat="1" applyFont="1" applyFill="1" applyBorder="1" applyAlignment="1">
      <alignment horizontal="right" vertical="center" wrapText="1" indent="1"/>
    </xf>
    <xf numFmtId="3" fontId="9" fillId="0" borderId="33" xfId="48" applyNumberFormat="1" applyFont="1" applyFill="1" applyBorder="1" applyAlignment="1">
      <alignment horizontal="right" vertical="center" wrapText="1" indent="1"/>
    </xf>
    <xf numFmtId="3" fontId="9" fillId="0" borderId="36" xfId="48" applyNumberFormat="1" applyFont="1" applyFill="1" applyBorder="1" applyAlignment="1">
      <alignment horizontal="right" vertical="center" wrapText="1" indent="1"/>
    </xf>
    <xf numFmtId="3" fontId="8" fillId="0" borderId="38" xfId="48" applyNumberFormat="1" applyFont="1" applyFill="1" applyBorder="1" applyAlignment="1">
      <alignment horizontal="right" vertical="center" wrapText="1" indent="1"/>
    </xf>
    <xf numFmtId="3" fontId="9" fillId="0" borderId="44" xfId="48" applyNumberFormat="1" applyFont="1" applyFill="1" applyBorder="1" applyAlignment="1">
      <alignment horizontal="right" vertical="center" wrapText="1" indent="1"/>
    </xf>
    <xf numFmtId="3" fontId="9" fillId="0" borderId="38" xfId="48" applyNumberFormat="1" applyFont="1" applyFill="1" applyBorder="1" applyAlignment="1">
      <alignment horizontal="right" vertical="center" wrapText="1" indent="1"/>
    </xf>
    <xf numFmtId="3" fontId="9" fillId="0" borderId="31" xfId="48" applyNumberFormat="1" applyFont="1" applyFill="1" applyBorder="1" applyAlignment="1">
      <alignment vertical="center" wrapText="1"/>
    </xf>
    <xf numFmtId="3" fontId="9" fillId="0" borderId="22" xfId="48" applyNumberFormat="1" applyFont="1" applyFill="1" applyBorder="1" applyAlignment="1">
      <alignment vertical="center" wrapText="1"/>
    </xf>
    <xf numFmtId="3" fontId="9" fillId="0" borderId="25" xfId="48" applyNumberFormat="1" applyFont="1" applyFill="1" applyBorder="1" applyAlignment="1">
      <alignment vertical="center" wrapText="1"/>
    </xf>
    <xf numFmtId="3" fontId="9" fillId="0" borderId="102" xfId="48" applyNumberFormat="1" applyFont="1" applyFill="1" applyBorder="1" applyAlignment="1">
      <alignment vertical="center" wrapText="1"/>
    </xf>
    <xf numFmtId="3" fontId="9" fillId="0" borderId="103" xfId="48" applyNumberFormat="1" applyFont="1" applyFill="1" applyBorder="1" applyAlignment="1">
      <alignment vertical="center" wrapText="1"/>
    </xf>
    <xf numFmtId="3" fontId="9" fillId="0" borderId="104" xfId="48" applyNumberFormat="1" applyFont="1" applyFill="1" applyBorder="1" applyAlignment="1">
      <alignment vertical="center" wrapText="1"/>
    </xf>
    <xf numFmtId="3" fontId="9" fillId="0" borderId="105" xfId="48" applyNumberFormat="1" applyFont="1" applyFill="1" applyBorder="1" applyAlignment="1">
      <alignment vertical="center" wrapText="1"/>
    </xf>
    <xf numFmtId="3" fontId="9" fillId="0" borderId="106" xfId="48" applyNumberFormat="1" applyFont="1" applyFill="1" applyBorder="1" applyAlignment="1">
      <alignment vertical="center" wrapText="1"/>
    </xf>
    <xf numFmtId="3" fontId="9" fillId="0" borderId="107" xfId="48" applyNumberFormat="1" applyFont="1" applyFill="1" applyBorder="1" applyAlignment="1">
      <alignment vertical="center" wrapText="1"/>
    </xf>
    <xf numFmtId="3" fontId="9" fillId="0" borderId="57" xfId="48" applyNumberFormat="1" applyFont="1" applyFill="1" applyBorder="1" applyAlignment="1">
      <alignment vertical="center" wrapText="1"/>
    </xf>
    <xf numFmtId="3" fontId="8" fillId="0" borderId="102" xfId="48" applyNumberFormat="1" applyFont="1" applyFill="1" applyBorder="1" applyAlignment="1">
      <alignment vertical="center" wrapText="1"/>
    </xf>
    <xf numFmtId="3" fontId="9" fillId="0" borderId="90" xfId="48" applyNumberFormat="1" applyFont="1" applyFill="1" applyBorder="1" applyAlignment="1">
      <alignment horizontal="right" vertical="center" wrapText="1" indent="1"/>
    </xf>
    <xf numFmtId="0" fontId="8" fillId="0" borderId="20" xfId="48" applyFont="1" applyFill="1" applyBorder="1" applyAlignment="1">
      <alignment horizontal="center" vertical="center" wrapText="1"/>
    </xf>
    <xf numFmtId="3" fontId="8" fillId="0" borderId="39" xfId="49" applyNumberFormat="1" applyFont="1" applyFill="1" applyBorder="1" applyAlignment="1">
      <alignment horizontal="left" vertical="center" wrapText="1" indent="1"/>
    </xf>
    <xf numFmtId="3" fontId="8" fillId="0" borderId="54" xfId="49" applyNumberFormat="1" applyFont="1" applyFill="1" applyBorder="1" applyAlignment="1">
      <alignment horizontal="left" vertical="center" wrapText="1" indent="1"/>
    </xf>
    <xf numFmtId="3" fontId="8" fillId="0" borderId="54" xfId="49" applyNumberFormat="1" applyFont="1" applyFill="1" applyBorder="1" applyAlignment="1">
      <alignment horizontal="left" vertical="center" indent="1"/>
    </xf>
    <xf numFmtId="3" fontId="8" fillId="0" borderId="40" xfId="49" applyNumberFormat="1" applyFont="1" applyFill="1" applyBorder="1" applyAlignment="1">
      <alignment horizontal="left" vertical="center" indent="1"/>
    </xf>
    <xf numFmtId="3" fontId="9" fillId="0" borderId="29" xfId="49" applyNumberFormat="1" applyFont="1" applyFill="1" applyBorder="1" applyAlignment="1">
      <alignment horizontal="right" vertical="center" wrapText="1" indent="1"/>
    </xf>
    <xf numFmtId="3" fontId="9" fillId="0" borderId="15" xfId="49" applyNumberFormat="1" applyFont="1" applyFill="1" applyBorder="1" applyAlignment="1">
      <alignment horizontal="right" vertical="center" wrapText="1" indent="1"/>
    </xf>
    <xf numFmtId="3" fontId="9" fillId="0" borderId="16" xfId="49" applyNumberFormat="1" applyFont="1" applyFill="1" applyBorder="1" applyAlignment="1">
      <alignment horizontal="right" vertical="center" wrapText="1" indent="1"/>
    </xf>
    <xf numFmtId="3" fontId="8" fillId="0" borderId="48" xfId="28" applyNumberFormat="1" applyFont="1" applyFill="1" applyBorder="1" applyAlignment="1">
      <alignment horizontal="right" vertical="center" wrapText="1" indent="1"/>
    </xf>
    <xf numFmtId="3" fontId="8" fillId="0" borderId="37" xfId="49" applyNumberFormat="1" applyFont="1" applyFill="1" applyBorder="1" applyAlignment="1">
      <alignment horizontal="left" vertical="center" wrapText="1" indent="1"/>
    </xf>
    <xf numFmtId="0" fontId="71" fillId="0" borderId="0" xfId="0" applyFont="1" applyAlignment="1">
      <alignment horizontal="left" vertical="top"/>
    </xf>
    <xf numFmtId="0" fontId="71" fillId="0" borderId="0" xfId="0" applyFont="1" applyAlignment="1">
      <alignment horizontal="left" vertical="top" wrapText="1"/>
    </xf>
    <xf numFmtId="0" fontId="71" fillId="0" borderId="0" xfId="0" applyFont="1" applyBorder="1" applyAlignment="1">
      <alignment horizontal="left" vertical="top" wrapText="1"/>
    </xf>
    <xf numFmtId="3" fontId="67" fillId="0" borderId="0" xfId="0" applyNumberFormat="1" applyFont="1" applyFill="1" applyBorder="1" applyAlignment="1">
      <alignment horizontal="left" vertical="top" wrapText="1"/>
    </xf>
    <xf numFmtId="0" fontId="71" fillId="0" borderId="0" xfId="0" applyFont="1" applyBorder="1" applyAlignment="1">
      <alignment horizontal="left" vertical="top"/>
    </xf>
    <xf numFmtId="3" fontId="67" fillId="0" borderId="0" xfId="51" applyNumberFormat="1" applyFont="1" applyFill="1" applyBorder="1" applyAlignment="1">
      <alignment horizontal="left" vertical="top" wrapText="1"/>
    </xf>
    <xf numFmtId="0" fontId="67" fillId="0" borderId="0" xfId="51" applyFont="1" applyBorder="1" applyAlignment="1">
      <alignment horizontal="left" vertical="top" wrapText="1"/>
    </xf>
    <xf numFmtId="3" fontId="67" fillId="0" borderId="0" xfId="51" applyNumberFormat="1" applyFont="1" applyBorder="1" applyAlignment="1">
      <alignment horizontal="left" vertical="top" wrapText="1"/>
    </xf>
    <xf numFmtId="3" fontId="67" fillId="0" borderId="0" xfId="48" applyNumberFormat="1" applyFont="1" applyFill="1" applyBorder="1" applyAlignment="1">
      <alignment horizontal="left" vertical="top" wrapText="1"/>
    </xf>
    <xf numFmtId="3" fontId="67" fillId="0" borderId="0" xfId="55" applyNumberFormat="1" applyFont="1" applyFill="1" applyBorder="1" applyAlignment="1">
      <alignment horizontal="left" vertical="top" wrapText="1"/>
    </xf>
    <xf numFmtId="3" fontId="67" fillId="0" borderId="0" xfId="56" applyNumberFormat="1" applyFont="1" applyFill="1" applyBorder="1" applyAlignment="1">
      <alignment horizontal="left" vertical="top" wrapText="1"/>
    </xf>
    <xf numFmtId="3" fontId="67" fillId="0" borderId="0" xfId="53" applyNumberFormat="1" applyFont="1" applyBorder="1" applyAlignment="1">
      <alignment horizontal="left" vertical="top" wrapText="1"/>
    </xf>
    <xf numFmtId="0" fontId="12" fillId="0" borderId="50" xfId="0" applyNumberFormat="1" applyFont="1" applyFill="1" applyBorder="1" applyAlignment="1">
      <alignment horizontal="center"/>
    </xf>
    <xf numFmtId="0" fontId="12" fillId="0" borderId="38" xfId="0" applyNumberFormat="1" applyFont="1" applyFill="1" applyBorder="1" applyAlignment="1">
      <alignment horizontal="center"/>
    </xf>
    <xf numFmtId="0" fontId="3" fillId="0" borderId="50" xfId="0" applyNumberFormat="1" applyFont="1" applyFill="1" applyBorder="1" applyAlignment="1">
      <alignment horizontal="center"/>
    </xf>
    <xf numFmtId="0" fontId="3" fillId="0" borderId="38" xfId="0" applyNumberFormat="1" applyFont="1" applyFill="1" applyBorder="1" applyAlignment="1">
      <alignment horizontal="center"/>
    </xf>
    <xf numFmtId="167" fontId="3" fillId="0" borderId="50" xfId="0" applyNumberFormat="1" applyFont="1" applyFill="1" applyBorder="1" applyAlignment="1">
      <alignment horizontal="center"/>
    </xf>
    <xf numFmtId="167" fontId="3" fillId="0" borderId="38" xfId="0" applyNumberFormat="1" applyFont="1" applyFill="1" applyBorder="1" applyAlignment="1">
      <alignment horizontal="center"/>
    </xf>
    <xf numFmtId="0" fontId="3" fillId="0" borderId="49" xfId="0" applyFont="1" applyFill="1" applyBorder="1" applyAlignment="1">
      <alignment horizontal="center"/>
    </xf>
    <xf numFmtId="0" fontId="3" fillId="0" borderId="50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73" xfId="0" applyFont="1" applyFill="1" applyBorder="1" applyAlignment="1">
      <alignment horizontal="center" vertical="center"/>
    </xf>
    <xf numFmtId="0" fontId="2" fillId="0" borderId="74" xfId="0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2" fillId="0" borderId="86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2" fillId="0" borderId="41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/>
    </xf>
    <xf numFmtId="0" fontId="2" fillId="0" borderId="61" xfId="0" applyFont="1" applyFill="1" applyBorder="1" applyAlignment="1">
      <alignment horizontal="center"/>
    </xf>
    <xf numFmtId="0" fontId="2" fillId="0" borderId="60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86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0" borderId="108" xfId="0" applyFont="1" applyFill="1" applyBorder="1" applyAlignment="1">
      <alignment horizontal="center"/>
    </xf>
    <xf numFmtId="0" fontId="2" fillId="0" borderId="74" xfId="0" applyFont="1" applyFill="1" applyBorder="1" applyAlignment="1">
      <alignment horizontal="center"/>
    </xf>
    <xf numFmtId="0" fontId="2" fillId="0" borderId="75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2" fillId="0" borderId="53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 vertical="center" wrapText="1"/>
    </xf>
    <xf numFmtId="0" fontId="8" fillId="0" borderId="64" xfId="0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/>
    </xf>
    <xf numFmtId="0" fontId="8" fillId="0" borderId="9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left" vertical="center" wrapText="1" indent="1"/>
    </xf>
    <xf numFmtId="0" fontId="8" fillId="0" borderId="24" xfId="0" applyFont="1" applyFill="1" applyBorder="1" applyAlignment="1">
      <alignment horizontal="right" vertical="center" wrapText="1" indent="1"/>
    </xf>
    <xf numFmtId="0" fontId="8" fillId="0" borderId="42" xfId="0" applyFont="1" applyFill="1" applyBorder="1" applyAlignment="1">
      <alignment horizontal="right" vertical="center" wrapText="1" indent="1"/>
    </xf>
    <xf numFmtId="0" fontId="8" fillId="0" borderId="91" xfId="0" applyFont="1" applyFill="1" applyBorder="1" applyAlignment="1">
      <alignment horizontal="center" vertical="center"/>
    </xf>
    <xf numFmtId="0" fontId="8" fillId="0" borderId="109" xfId="0" applyFont="1" applyFill="1" applyBorder="1" applyAlignment="1">
      <alignment horizontal="center" vertical="center"/>
    </xf>
    <xf numFmtId="0" fontId="8" fillId="0" borderId="90" xfId="0" applyFont="1" applyFill="1" applyBorder="1" applyAlignment="1">
      <alignment horizontal="center" vertical="center"/>
    </xf>
    <xf numFmtId="0" fontId="8" fillId="0" borderId="86" xfId="0" applyFont="1" applyFill="1" applyBorder="1" applyAlignment="1">
      <alignment horizontal="left" vertical="center" indent="1"/>
    </xf>
    <xf numFmtId="0" fontId="8" fillId="0" borderId="81" xfId="0" applyFont="1" applyFill="1" applyBorder="1" applyAlignment="1">
      <alignment horizontal="left" vertical="center" indent="1"/>
    </xf>
    <xf numFmtId="0" fontId="8" fillId="0" borderId="48" xfId="0" applyFont="1" applyFill="1" applyBorder="1" applyAlignment="1">
      <alignment horizontal="left" vertical="center" indent="1"/>
    </xf>
    <xf numFmtId="0" fontId="8" fillId="0" borderId="29" xfId="0" applyFont="1" applyFill="1" applyBorder="1" applyAlignment="1">
      <alignment horizontal="left" vertical="center" wrapText="1" indent="1"/>
    </xf>
    <xf numFmtId="0" fontId="1" fillId="0" borderId="16" xfId="0" applyFont="1" applyFill="1" applyBorder="1" applyAlignment="1">
      <alignment horizontal="left" vertical="center" wrapText="1" indent="1"/>
    </xf>
    <xf numFmtId="4" fontId="68" fillId="0" borderId="31" xfId="0" applyNumberFormat="1" applyFont="1" applyBorder="1" applyAlignment="1">
      <alignment horizontal="center" vertical="center" textRotation="90" wrapText="1"/>
    </xf>
    <xf numFmtId="4" fontId="68" fillId="0" borderId="35" xfId="0" applyNumberFormat="1" applyFont="1" applyBorder="1" applyAlignment="1">
      <alignment horizontal="center" vertical="center" textRotation="90" wrapText="1"/>
    </xf>
    <xf numFmtId="168" fontId="68" fillId="0" borderId="29" xfId="0" applyNumberFormat="1" applyFont="1" applyFill="1" applyBorder="1" applyAlignment="1">
      <alignment horizontal="center" vertical="center" wrapText="1"/>
    </xf>
    <xf numFmtId="168" fontId="68" fillId="0" borderId="16" xfId="0" applyNumberFormat="1" applyFont="1" applyFill="1" applyBorder="1" applyAlignment="1">
      <alignment horizontal="center" vertical="center" wrapText="1"/>
    </xf>
    <xf numFmtId="4" fontId="68" fillId="0" borderId="29" xfId="0" applyNumberFormat="1" applyFont="1" applyBorder="1" applyAlignment="1">
      <alignment horizontal="center" vertical="center" wrapText="1"/>
    </xf>
    <xf numFmtId="4" fontId="68" fillId="0" borderId="16" xfId="0" applyNumberFormat="1" applyFont="1" applyBorder="1" applyAlignment="1">
      <alignment horizontal="center" vertical="center" wrapText="1"/>
    </xf>
    <xf numFmtId="3" fontId="68" fillId="0" borderId="30" xfId="0" applyNumberFormat="1" applyFont="1" applyFill="1" applyBorder="1" applyAlignment="1">
      <alignment horizontal="center" vertical="center" wrapText="1"/>
    </xf>
    <xf numFmtId="3" fontId="68" fillId="0" borderId="34" xfId="0" applyNumberFormat="1" applyFont="1" applyFill="1" applyBorder="1" applyAlignment="1">
      <alignment horizontal="center" vertical="center" wrapText="1"/>
    </xf>
    <xf numFmtId="3" fontId="68" fillId="0" borderId="30" xfId="0" applyNumberFormat="1" applyFont="1" applyBorder="1" applyAlignment="1">
      <alignment horizontal="left" vertical="center" textRotation="1" wrapText="1"/>
    </xf>
    <xf numFmtId="3" fontId="68" fillId="0" borderId="53" xfId="0" applyNumberFormat="1" applyFont="1" applyBorder="1" applyAlignment="1">
      <alignment horizontal="left" vertical="center" textRotation="1" wrapText="1"/>
    </xf>
    <xf numFmtId="3" fontId="68" fillId="0" borderId="31" xfId="0" applyNumberFormat="1" applyFont="1" applyBorder="1" applyAlignment="1">
      <alignment horizontal="left" vertical="center" textRotation="1" wrapText="1"/>
    </xf>
    <xf numFmtId="3" fontId="78" fillId="0" borderId="0" xfId="0" applyNumberFormat="1" applyFont="1" applyFill="1" applyBorder="1" applyAlignment="1">
      <alignment horizontal="center" vertical="center" wrapText="1"/>
    </xf>
    <xf numFmtId="168" fontId="68" fillId="0" borderId="41" xfId="0" applyNumberFormat="1" applyFont="1" applyBorder="1" applyAlignment="1">
      <alignment horizontal="center" vertical="center" textRotation="90" wrapText="1"/>
    </xf>
    <xf numFmtId="168" fontId="68" fillId="0" borderId="14" xfId="0" applyNumberFormat="1" applyFont="1" applyBorder="1" applyAlignment="1">
      <alignment horizontal="center" vertical="center" textRotation="90" wrapText="1"/>
    </xf>
    <xf numFmtId="4" fontId="68" fillId="0" borderId="53" xfId="0" applyNumberFormat="1" applyFont="1" applyBorder="1" applyAlignment="1">
      <alignment horizontal="center" vertical="center" textRotation="90" wrapText="1"/>
    </xf>
    <xf numFmtId="4" fontId="68" fillId="0" borderId="55" xfId="0" applyNumberFormat="1" applyFont="1" applyBorder="1" applyAlignment="1">
      <alignment horizontal="center" vertical="center" textRotation="90" wrapText="1"/>
    </xf>
    <xf numFmtId="168" fontId="68" fillId="0" borderId="53" xfId="0" applyNumberFormat="1" applyFont="1" applyBorder="1" applyAlignment="1">
      <alignment horizontal="center" vertical="center" textRotation="90" wrapText="1"/>
    </xf>
    <xf numFmtId="168" fontId="68" fillId="0" borderId="55" xfId="0" applyNumberFormat="1" applyFont="1" applyBorder="1" applyAlignment="1">
      <alignment horizontal="center" vertical="center" textRotation="90" wrapText="1"/>
    </xf>
    <xf numFmtId="0" fontId="7" fillId="0" borderId="12" xfId="0" applyFont="1" applyFill="1" applyBorder="1" applyAlignment="1">
      <alignment horizontal="center" vertical="center"/>
    </xf>
    <xf numFmtId="3" fontId="44" fillId="0" borderId="0" xfId="51" applyNumberFormat="1" applyFont="1" applyFill="1" applyBorder="1" applyAlignment="1">
      <alignment horizontal="center" vertical="center" wrapText="1"/>
    </xf>
    <xf numFmtId="3" fontId="74" fillId="0" borderId="0" xfId="51" applyNumberFormat="1" applyFont="1" applyFill="1" applyBorder="1" applyAlignment="1">
      <alignment horizontal="left" vertical="center" wrapText="1"/>
    </xf>
    <xf numFmtId="0" fontId="60" fillId="0" borderId="0" xfId="51" applyFont="1" applyFill="1" applyBorder="1" applyAlignment="1">
      <alignment horizontal="center" vertical="center" wrapText="1"/>
    </xf>
    <xf numFmtId="3" fontId="78" fillId="0" borderId="0" xfId="51" applyNumberFormat="1" applyFont="1" applyFill="1" applyBorder="1" applyAlignment="1">
      <alignment horizontal="center" vertical="center" wrapText="1"/>
    </xf>
    <xf numFmtId="3" fontId="44" fillId="0" borderId="0" xfId="51" applyNumberFormat="1" applyFont="1" applyBorder="1" applyAlignment="1">
      <alignment horizontal="center" vertical="center" wrapText="1"/>
    </xf>
    <xf numFmtId="3" fontId="78" fillId="0" borderId="0" xfId="51" applyNumberFormat="1" applyFont="1" applyBorder="1" applyAlignment="1">
      <alignment horizontal="center" vertical="center" wrapText="1"/>
    </xf>
    <xf numFmtId="3" fontId="44" fillId="0" borderId="0" xfId="48" applyNumberFormat="1" applyFont="1" applyFill="1" applyBorder="1" applyAlignment="1">
      <alignment horizontal="center" vertical="center" wrapText="1"/>
    </xf>
    <xf numFmtId="3" fontId="44" fillId="0" borderId="0" xfId="55" applyNumberFormat="1" applyFont="1" applyFill="1" applyBorder="1" applyAlignment="1">
      <alignment horizontal="center" vertical="center" wrapText="1"/>
    </xf>
    <xf numFmtId="3" fontId="9" fillId="0" borderId="78" xfId="48" applyNumberFormat="1" applyFont="1" applyFill="1" applyBorder="1" applyAlignment="1">
      <alignment horizontal="left" vertical="top" wrapText="1"/>
    </xf>
    <xf numFmtId="3" fontId="9" fillId="0" borderId="0" xfId="48" applyNumberFormat="1" applyFont="1" applyFill="1" applyBorder="1" applyAlignment="1">
      <alignment horizontal="left" vertical="top" wrapText="1"/>
    </xf>
    <xf numFmtId="3" fontId="9" fillId="0" borderId="110" xfId="48" applyNumberFormat="1" applyFont="1" applyFill="1" applyBorder="1" applyAlignment="1">
      <alignment horizontal="left" vertical="top" wrapText="1"/>
    </xf>
    <xf numFmtId="3" fontId="9" fillId="0" borderId="108" xfId="48" applyNumberFormat="1" applyFont="1" applyFill="1" applyBorder="1" applyAlignment="1">
      <alignment horizontal="justify" vertical="top" wrapText="1"/>
    </xf>
    <xf numFmtId="3" fontId="9" fillId="0" borderId="98" xfId="48" applyNumberFormat="1" applyFont="1" applyFill="1" applyBorder="1" applyAlignment="1">
      <alignment horizontal="justify" vertical="top" wrapText="1"/>
    </xf>
    <xf numFmtId="3" fontId="9" fillId="0" borderId="111" xfId="48" applyNumberFormat="1" applyFont="1" applyFill="1" applyBorder="1" applyAlignment="1">
      <alignment horizontal="justify" vertical="top" wrapText="1"/>
    </xf>
    <xf numFmtId="3" fontId="9" fillId="0" borderId="73" xfId="48" applyNumberFormat="1" applyFont="1" applyFill="1" applyBorder="1" applyAlignment="1">
      <alignment horizontal="center" vertical="top" wrapText="1"/>
    </xf>
    <xf numFmtId="3" fontId="9" fillId="0" borderId="61" xfId="48" applyNumberFormat="1" applyFont="1" applyFill="1" applyBorder="1" applyAlignment="1">
      <alignment horizontal="center" vertical="top" wrapText="1"/>
    </xf>
    <xf numFmtId="3" fontId="9" fillId="0" borderId="54" xfId="48" applyNumberFormat="1" applyFont="1" applyFill="1" applyBorder="1" applyAlignment="1">
      <alignment horizontal="left" vertical="center" wrapText="1"/>
    </xf>
    <xf numFmtId="3" fontId="9" fillId="0" borderId="33" xfId="48" applyNumberFormat="1" applyFont="1" applyFill="1" applyBorder="1" applyAlignment="1">
      <alignment horizontal="left" vertical="center" wrapText="1"/>
    </xf>
    <xf numFmtId="3" fontId="9" fillId="0" borderId="113" xfId="48" applyNumberFormat="1" applyFont="1" applyFill="1" applyBorder="1" applyAlignment="1">
      <alignment horizontal="center" vertical="top" wrapText="1"/>
    </xf>
    <xf numFmtId="3" fontId="9" fillId="0" borderId="91" xfId="48" applyNumberFormat="1" applyFont="1" applyFill="1" applyBorder="1" applyAlignment="1">
      <alignment horizontal="left" vertical="center" wrapText="1"/>
    </xf>
    <xf numFmtId="3" fontId="9" fillId="0" borderId="90" xfId="48" applyNumberFormat="1" applyFont="1" applyFill="1" applyBorder="1" applyAlignment="1">
      <alignment horizontal="left" vertical="center" wrapText="1"/>
    </xf>
    <xf numFmtId="3" fontId="9" fillId="0" borderId="24" xfId="48" applyNumberFormat="1" applyFont="1" applyFill="1" applyBorder="1" applyAlignment="1">
      <alignment horizontal="left" vertical="top" wrapText="1"/>
    </xf>
    <xf numFmtId="3" fontId="9" fillId="0" borderId="88" xfId="48" applyNumberFormat="1" applyFont="1" applyFill="1" applyBorder="1" applyAlignment="1">
      <alignment horizontal="left" vertical="top" wrapText="1"/>
    </xf>
    <xf numFmtId="3" fontId="9" fillId="0" borderId="70" xfId="48" applyNumberFormat="1" applyFont="1" applyFill="1" applyBorder="1" applyAlignment="1">
      <alignment horizontal="left" vertical="center" wrapText="1"/>
    </xf>
    <xf numFmtId="3" fontId="9" fillId="0" borderId="69" xfId="48" applyNumberFormat="1" applyFont="1" applyFill="1" applyBorder="1" applyAlignment="1">
      <alignment horizontal="left" vertical="center" wrapText="1"/>
    </xf>
    <xf numFmtId="3" fontId="9" fillId="0" borderId="73" xfId="48" applyNumberFormat="1" applyFont="1" applyFill="1" applyBorder="1" applyAlignment="1">
      <alignment horizontal="left" vertical="top" wrapText="1"/>
    </xf>
    <xf numFmtId="3" fontId="9" fillId="0" borderId="61" xfId="48" applyNumberFormat="1" applyFont="1" applyFill="1" applyBorder="1" applyAlignment="1">
      <alignment horizontal="left" vertical="top" wrapText="1"/>
    </xf>
    <xf numFmtId="3" fontId="9" fillId="0" borderId="112" xfId="48" applyNumberFormat="1" applyFont="1" applyFill="1" applyBorder="1" applyAlignment="1">
      <alignment horizontal="left" vertical="top" wrapText="1"/>
    </xf>
    <xf numFmtId="3" fontId="9" fillId="0" borderId="113" xfId="48" applyNumberFormat="1" applyFont="1" applyFill="1" applyBorder="1" applyAlignment="1">
      <alignment horizontal="left" vertical="top" wrapText="1"/>
    </xf>
    <xf numFmtId="3" fontId="9" fillId="0" borderId="112" xfId="48" applyNumberFormat="1" applyFont="1" applyFill="1" applyBorder="1" applyAlignment="1">
      <alignment horizontal="center" vertical="center" wrapText="1"/>
    </xf>
    <xf numFmtId="3" fontId="9" fillId="0" borderId="61" xfId="48" applyNumberFormat="1" applyFont="1" applyFill="1" applyBorder="1" applyAlignment="1">
      <alignment horizontal="center" vertical="center" wrapText="1"/>
    </xf>
    <xf numFmtId="3" fontId="9" fillId="0" borderId="88" xfId="48" applyNumberFormat="1" applyFont="1" applyFill="1" applyBorder="1" applyAlignment="1">
      <alignment horizontal="center" vertical="center" wrapText="1"/>
    </xf>
    <xf numFmtId="3" fontId="9" fillId="0" borderId="81" xfId="48" applyNumberFormat="1" applyFont="1" applyFill="1" applyBorder="1" applyAlignment="1">
      <alignment horizontal="center" vertical="center" wrapText="1"/>
    </xf>
    <xf numFmtId="3" fontId="9" fillId="0" borderId="48" xfId="48" applyNumberFormat="1" applyFont="1" applyFill="1" applyBorder="1" applyAlignment="1">
      <alignment horizontal="center" vertical="center" wrapText="1"/>
    </xf>
    <xf numFmtId="3" fontId="9" fillId="0" borderId="26" xfId="48" applyNumberFormat="1" applyFont="1" applyFill="1" applyBorder="1" applyAlignment="1">
      <alignment horizontal="left" vertical="center" wrapText="1"/>
    </xf>
    <xf numFmtId="3" fontId="9" fillId="0" borderId="25" xfId="48" applyNumberFormat="1" applyFont="1" applyFill="1" applyBorder="1" applyAlignment="1">
      <alignment horizontal="left" vertical="center" wrapText="1"/>
    </xf>
    <xf numFmtId="3" fontId="9" fillId="0" borderId="58" xfId="48" applyNumberFormat="1" applyFont="1" applyFill="1" applyBorder="1" applyAlignment="1">
      <alignment horizontal="left" vertical="top" wrapText="1"/>
    </xf>
    <xf numFmtId="3" fontId="9" fillId="0" borderId="13" xfId="48" applyNumberFormat="1" applyFont="1" applyFill="1" applyBorder="1" applyAlignment="1">
      <alignment horizontal="left" vertical="top" wrapText="1"/>
    </xf>
    <xf numFmtId="3" fontId="8" fillId="0" borderId="49" xfId="56" applyNumberFormat="1" applyFont="1" applyFill="1" applyBorder="1" applyAlignment="1">
      <alignment horizontal="center" vertical="center" wrapText="1"/>
    </xf>
    <xf numFmtId="3" fontId="8" fillId="0" borderId="50" xfId="56" applyNumberFormat="1" applyFont="1" applyFill="1" applyBorder="1" applyAlignment="1">
      <alignment horizontal="center" vertical="center" wrapText="1"/>
    </xf>
    <xf numFmtId="3" fontId="8" fillId="0" borderId="38" xfId="56" applyNumberFormat="1" applyFont="1" applyFill="1" applyBorder="1" applyAlignment="1">
      <alignment horizontal="center" vertical="center" wrapText="1"/>
    </xf>
    <xf numFmtId="3" fontId="8" fillId="0" borderId="21" xfId="56" applyNumberFormat="1" applyFont="1" applyFill="1" applyBorder="1" applyAlignment="1">
      <alignment horizontal="center" vertical="center" wrapText="1"/>
    </xf>
    <xf numFmtId="3" fontId="8" fillId="0" borderId="18" xfId="56" applyNumberFormat="1" applyFont="1" applyFill="1" applyBorder="1" applyAlignment="1">
      <alignment horizontal="center" vertical="center" wrapText="1"/>
    </xf>
    <xf numFmtId="3" fontId="8" fillId="0" borderId="19" xfId="56" applyNumberFormat="1" applyFont="1" applyFill="1" applyBorder="1" applyAlignment="1">
      <alignment horizontal="center" vertical="center" wrapText="1"/>
    </xf>
    <xf numFmtId="3" fontId="44" fillId="0" borderId="12" xfId="56" applyNumberFormat="1" applyFont="1" applyFill="1" applyBorder="1" applyAlignment="1">
      <alignment horizontal="center" vertical="center" wrapText="1"/>
    </xf>
    <xf numFmtId="3" fontId="8" fillId="0" borderId="29" xfId="56" applyNumberFormat="1" applyFont="1" applyFill="1" applyBorder="1" applyAlignment="1">
      <alignment horizontal="center" vertical="center" wrapText="1"/>
    </xf>
    <xf numFmtId="3" fontId="8" fillId="0" borderId="16" xfId="56" applyNumberFormat="1" applyFont="1" applyFill="1" applyBorder="1" applyAlignment="1">
      <alignment horizontal="center" vertical="center" wrapText="1"/>
    </xf>
    <xf numFmtId="3" fontId="8" fillId="0" borderId="64" xfId="48" applyNumberFormat="1" applyFont="1" applyFill="1" applyBorder="1" applyAlignment="1">
      <alignment horizontal="center" vertical="center" wrapText="1"/>
    </xf>
    <xf numFmtId="0" fontId="1" fillId="0" borderId="72" xfId="0" applyFont="1" applyFill="1" applyBorder="1"/>
    <xf numFmtId="0" fontId="1" fillId="0" borderId="99" xfId="0" applyFont="1" applyFill="1" applyBorder="1"/>
    <xf numFmtId="3" fontId="65" fillId="0" borderId="49" xfId="49" applyNumberFormat="1" applyFont="1" applyFill="1" applyBorder="1" applyAlignment="1">
      <alignment horizontal="center" vertical="center" wrapText="1"/>
    </xf>
    <xf numFmtId="3" fontId="65" fillId="0" borderId="38" xfId="49" applyNumberFormat="1" applyFont="1" applyFill="1" applyBorder="1" applyAlignment="1">
      <alignment horizontal="center" vertical="center" wrapText="1"/>
    </xf>
    <xf numFmtId="3" fontId="65" fillId="0" borderId="64" xfId="49" applyNumberFormat="1" applyFont="1" applyFill="1" applyBorder="1" applyAlignment="1">
      <alignment horizontal="center" vertical="center" wrapText="1"/>
    </xf>
    <xf numFmtId="3" fontId="65" fillId="0" borderId="99" xfId="49" applyNumberFormat="1" applyFont="1" applyFill="1" applyBorder="1" applyAlignment="1">
      <alignment horizontal="center" vertical="center" wrapText="1"/>
    </xf>
    <xf numFmtId="3" fontId="44" fillId="0" borderId="0" xfId="49" applyNumberFormat="1" applyFont="1" applyAlignment="1">
      <alignment horizontal="center" vertical="center" wrapText="1"/>
    </xf>
    <xf numFmtId="3" fontId="44" fillId="0" borderId="0" xfId="53" applyNumberFormat="1" applyFont="1" applyFill="1" applyBorder="1" applyAlignment="1">
      <alignment horizontal="center" vertical="center" wrapText="1"/>
    </xf>
    <xf numFmtId="0" fontId="8" fillId="0" borderId="21" xfId="47" applyFont="1" applyFill="1" applyBorder="1" applyAlignment="1">
      <alignment horizontal="center" vertical="center" wrapText="1"/>
    </xf>
    <xf numFmtId="0" fontId="8" fillId="0" borderId="18" xfId="47" applyFont="1" applyFill="1" applyBorder="1" applyAlignment="1">
      <alignment horizontal="center" vertical="center" wrapText="1"/>
    </xf>
    <xf numFmtId="0" fontId="8" fillId="0" borderId="19" xfId="47" applyFont="1" applyFill="1" applyBorder="1" applyAlignment="1">
      <alignment horizontal="center" vertical="center" wrapText="1"/>
    </xf>
    <xf numFmtId="3" fontId="8" fillId="0" borderId="29" xfId="53" applyNumberFormat="1" applyFont="1" applyFill="1" applyBorder="1" applyAlignment="1">
      <alignment horizontal="left" vertical="center" wrapText="1"/>
    </xf>
    <xf numFmtId="3" fontId="8" fillId="0" borderId="16" xfId="53" applyNumberFormat="1" applyFont="1" applyFill="1" applyBorder="1" applyAlignment="1">
      <alignment horizontal="left" vertical="center" wrapText="1"/>
    </xf>
  </cellXfs>
  <cellStyles count="10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Čiarka" xfId="27" builtinId="3"/>
    <cellStyle name="čiarky 2" xfId="28"/>
    <cellStyle name="čiarky 3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Check Cell" xfId="36"/>
    <cellStyle name="Input" xfId="37"/>
    <cellStyle name="Linked Cell" xfId="38"/>
    <cellStyle name="Neutral" xfId="39"/>
    <cellStyle name="Normálna" xfId="0" builtinId="0"/>
    <cellStyle name="Normálna 2" xfId="40"/>
    <cellStyle name="Normálna 3" xfId="41"/>
    <cellStyle name="normálne 2" xfId="42"/>
    <cellStyle name="normálne 2 2" xfId="43"/>
    <cellStyle name="normálne 2 2 2" xfId="44"/>
    <cellStyle name="normálne 3" xfId="45"/>
    <cellStyle name="normálne 3 2" xfId="46"/>
    <cellStyle name="normálne 4" xfId="47"/>
    <cellStyle name="normálne_Databazy_VVŠ_2006_ severská" xfId="48"/>
    <cellStyle name="normálne_Databazy_VVŠ_2007_ severská" xfId="49"/>
    <cellStyle name="normálne_Databazy_VVŠ_2007_ severská 2" xfId="50"/>
    <cellStyle name="normálne_OVT - Tab_16az23_sprava_VVS_2004" xfId="51"/>
    <cellStyle name="normálne_správa_2005_tabuľky_v7_hodnoty 2" xfId="52"/>
    <cellStyle name="normálne_sprava_VVŠ_2004_tabuľky_vláda" xfId="53"/>
    <cellStyle name="normálne_sprava_VVŠ_2004_tabuľky_vláda 2" xfId="54"/>
    <cellStyle name="normálne_Viest 2" xfId="55"/>
    <cellStyle name="normálne_Výročná_správa_o_VŠ_2005_financie_databazy_po_kontrole_OFVŠ_PM" xfId="56"/>
    <cellStyle name="normální_List1" xfId="57"/>
    <cellStyle name="Note" xfId="58"/>
    <cellStyle name="Output" xfId="59"/>
    <cellStyle name="Percentá" xfId="60" builtinId="5"/>
    <cellStyle name="percentá 2" xfId="61"/>
    <cellStyle name="SAPBEXaggData" xfId="62"/>
    <cellStyle name="SAPBEXaggDataEmph" xfId="63"/>
    <cellStyle name="SAPBEXaggItem" xfId="64"/>
    <cellStyle name="SAPBEXaggItemX" xfId="65"/>
    <cellStyle name="SAPBEXexcBad7" xfId="66"/>
    <cellStyle name="SAPBEXexcBad8" xfId="67"/>
    <cellStyle name="SAPBEXexcBad9" xfId="68"/>
    <cellStyle name="SAPBEXexcCritical4" xfId="69"/>
    <cellStyle name="SAPBEXexcCritical5" xfId="70"/>
    <cellStyle name="SAPBEXexcCritical6" xfId="71"/>
    <cellStyle name="SAPBEXexcGood1" xfId="72"/>
    <cellStyle name="SAPBEXexcGood2" xfId="73"/>
    <cellStyle name="SAPBEXexcGood3" xfId="74"/>
    <cellStyle name="SAPBEXfilterDrill" xfId="75"/>
    <cellStyle name="SAPBEXfilterItem" xfId="76"/>
    <cellStyle name="SAPBEXfilterText" xfId="77"/>
    <cellStyle name="SAPBEXformats" xfId="78"/>
    <cellStyle name="SAPBEXheaderItem" xfId="79"/>
    <cellStyle name="SAPBEXheaderText" xfId="80"/>
    <cellStyle name="SAPBEXHLevel0" xfId="81"/>
    <cellStyle name="SAPBEXHLevel0X" xfId="82"/>
    <cellStyle name="SAPBEXHLevel1" xfId="83"/>
    <cellStyle name="SAPBEXHLevel1X" xfId="84"/>
    <cellStyle name="SAPBEXHLevel2" xfId="85"/>
    <cellStyle name="SAPBEXHLevel2X" xfId="86"/>
    <cellStyle name="SAPBEXHLevel3" xfId="87"/>
    <cellStyle name="SAPBEXHLevel3X" xfId="88"/>
    <cellStyle name="SAPBEXchaText" xfId="89"/>
    <cellStyle name="SAPBEXresData" xfId="90"/>
    <cellStyle name="SAPBEXresDataEmph" xfId="91"/>
    <cellStyle name="SAPBEXresItem" xfId="92"/>
    <cellStyle name="SAPBEXresItemX" xfId="93"/>
    <cellStyle name="SAPBEXstdData" xfId="94"/>
    <cellStyle name="SAPBEXstdDataEmph" xfId="95"/>
    <cellStyle name="SAPBEXstdItem" xfId="96"/>
    <cellStyle name="SAPBEXstdItemX" xfId="97"/>
    <cellStyle name="SAPBEXtitle" xfId="98"/>
    <cellStyle name="SAPBEXundefined" xfId="99"/>
    <cellStyle name="Štýl 1" xfId="100"/>
    <cellStyle name="Štýl 2" xfId="101"/>
    <cellStyle name="Title" xfId="102"/>
    <cellStyle name="Total" xfId="103"/>
    <cellStyle name="Warning Text" xfId="104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31.888817930237298</c:v>
              </c:pt>
              <c:pt idx="2">
                <c:v>27.4359091323782</c:v>
              </c:pt>
              <c:pt idx="3">
                <c:v>2.4184228932882998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31.888817930237298</c:v>
              </c:pt>
              <c:pt idx="2">
                <c:v>27.4359091323782</c:v>
              </c:pt>
              <c:pt idx="3">
                <c:v>2.4184228932882998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31.888817930237298</c:v>
              </c:pt>
              <c:pt idx="2">
                <c:v>27.4359091323782</c:v>
              </c:pt>
              <c:pt idx="3">
                <c:v>2.4184228932882998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27.435909132378399</c:v>
              </c:pt>
              <c:pt idx="3">
                <c:v>2.4184228932883198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27.435909132378399</c:v>
              </c:pt>
              <c:pt idx="3">
                <c:v>2.4184228932883198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27.435909132378399</c:v>
              </c:pt>
              <c:pt idx="3">
                <c:v>2.4184228932883198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27.435909132378399</c:v>
              </c:pt>
              <c:pt idx="3">
                <c:v>2.4184228932883198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31.888817930237298</c:v>
              </c:pt>
              <c:pt idx="2">
                <c:v>27.4359091323782</c:v>
              </c:pt>
              <c:pt idx="3">
                <c:v>2.4184228932882998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58584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58584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58584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58585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3</xdr:col>
      <xdr:colOff>47625</xdr:colOff>
      <xdr:row>6</xdr:row>
      <xdr:rowOff>0</xdr:rowOff>
    </xdr:to>
    <xdr:graphicFrame macro="">
      <xdr:nvGraphicFramePr>
        <xdr:cNvPr id="58585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3</xdr:col>
      <xdr:colOff>47625</xdr:colOff>
      <xdr:row>6</xdr:row>
      <xdr:rowOff>0</xdr:rowOff>
    </xdr:to>
    <xdr:graphicFrame macro="">
      <xdr:nvGraphicFramePr>
        <xdr:cNvPr id="585850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3</xdr:col>
      <xdr:colOff>47625</xdr:colOff>
      <xdr:row>6</xdr:row>
      <xdr:rowOff>0</xdr:rowOff>
    </xdr:to>
    <xdr:graphicFrame macro="">
      <xdr:nvGraphicFramePr>
        <xdr:cNvPr id="585850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3</xdr:col>
      <xdr:colOff>47625</xdr:colOff>
      <xdr:row>6</xdr:row>
      <xdr:rowOff>0</xdr:rowOff>
    </xdr:to>
    <xdr:graphicFrame macro="">
      <xdr:nvGraphicFramePr>
        <xdr:cNvPr id="585850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58585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585850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58585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58585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3</xdr:col>
      <xdr:colOff>47625</xdr:colOff>
      <xdr:row>6</xdr:row>
      <xdr:rowOff>0</xdr:rowOff>
    </xdr:to>
    <xdr:graphicFrame macro="">
      <xdr:nvGraphicFramePr>
        <xdr:cNvPr id="585850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3</xdr:col>
      <xdr:colOff>47625</xdr:colOff>
      <xdr:row>6</xdr:row>
      <xdr:rowOff>0</xdr:rowOff>
    </xdr:to>
    <xdr:graphicFrame macro="">
      <xdr:nvGraphicFramePr>
        <xdr:cNvPr id="585851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3</xdr:col>
      <xdr:colOff>47625</xdr:colOff>
      <xdr:row>6</xdr:row>
      <xdr:rowOff>0</xdr:rowOff>
    </xdr:to>
    <xdr:graphicFrame macro="">
      <xdr:nvGraphicFramePr>
        <xdr:cNvPr id="585851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3</xdr:col>
      <xdr:colOff>47625</xdr:colOff>
      <xdr:row>6</xdr:row>
      <xdr:rowOff>0</xdr:rowOff>
    </xdr:to>
    <xdr:graphicFrame macro="">
      <xdr:nvGraphicFramePr>
        <xdr:cNvPr id="585851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585851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585851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58585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585851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585851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585851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585851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585852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585852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585852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585852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585852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585852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585852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585852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585852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hena11\zd_adr_sfr\Documents%20and%20Settings\mederly\Local%20Settings\Temporary%20Internet%20Files\OLK185F\struktura%20zamestnancov%20po%20fakultach_PM%2004-12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Fin-VS\Rok_2007\Vyro&#269;n&#233;_spr&#225;vy_2006\VV&#353;_Data\Databazy_VV&#352;_2006_%20seversk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y"/>
      <sheetName val="struktura profesorov"/>
      <sheetName val="struktura docentov"/>
      <sheetName val="T7-systemizacia po fakultach"/>
      <sheetName val="T8-vek profesorov"/>
      <sheetName val="T9-vek docentov"/>
      <sheetName val="10-ostatní_s_PhD"/>
      <sheetName val="studetni verzus miesta"/>
      <sheetName val="vahy"/>
      <sheetName val="nepublikova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>
        <row r="1">
          <cell r="B1">
            <v>1</v>
          </cell>
        </row>
        <row r="2">
          <cell r="B2">
            <v>0.3</v>
          </cell>
        </row>
        <row r="3">
          <cell r="B3">
            <v>3</v>
          </cell>
        </row>
        <row r="4">
          <cell r="B4">
            <v>0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_18_soc. štip_2005_2007"/>
      <sheetName val="T19 - Ubytovacia_kapacita"/>
      <sheetName val="T_20a_Súvaha_A_2007"/>
      <sheetName val="T24_Náklady_2007"/>
      <sheetName val="T25 - Náklady_porovnanie"/>
      <sheetName val="T_26_HV_2007"/>
      <sheetName val="T23 - Výnosy_porovnanie"/>
      <sheetName val="T_20b_Súvaha_P_2007"/>
      <sheetName val="T_25_soc. štip_2006"/>
      <sheetName val="T_26_ubytov. kapacity_2006"/>
      <sheetName val="T_32_Výnosy_soc.star._2006"/>
      <sheetName val="T_33_Náklady_soc. star._2007"/>
      <sheetName val="T_34_HV_ soc. star._2007"/>
      <sheetName val="T_29_Výnosy_2006"/>
      <sheetName val="T_30_Náklady_2006"/>
      <sheetName val="T_31_HV_2006"/>
      <sheetName val="T_27a_Súvaha_A_2006"/>
      <sheetName val="T_27b_Súvaha_P_2006"/>
      <sheetName val="Databáza_T8"/>
      <sheetName val="KT_8"/>
      <sheetName val="Databáta_T9"/>
      <sheetName val="KT_9"/>
      <sheetName val="Databáza_T10"/>
      <sheetName val="KT_10"/>
      <sheetName val="Databáza_T19"/>
      <sheetName val="KT_19"/>
      <sheetName val="Databáza_T20"/>
      <sheetName val="KT_20"/>
      <sheetName val="T_33_Náklady_soc. star._2006"/>
      <sheetName val="T_34_HV_ soc. star._200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15"/>
  <sheetViews>
    <sheetView tabSelected="1" workbookViewId="0">
      <selection activeCell="A9" sqref="A9"/>
    </sheetView>
  </sheetViews>
  <sheetFormatPr defaultRowHeight="15" x14ac:dyDescent="0.25"/>
  <cols>
    <col min="1" max="1" width="81.5703125" customWidth="1"/>
  </cols>
  <sheetData>
    <row r="14" spans="1:1" ht="23.25" x14ac:dyDescent="0.25">
      <c r="A14" s="28" t="s">
        <v>495</v>
      </c>
    </row>
    <row r="15" spans="1:1" ht="23.25" x14ac:dyDescent="0.25">
      <c r="A15" s="28" t="s">
        <v>533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38"/>
  <sheetViews>
    <sheetView zoomScaleNormal="100" workbookViewId="0">
      <selection sqref="A1:G1"/>
    </sheetView>
  </sheetViews>
  <sheetFormatPr defaultRowHeight="15" x14ac:dyDescent="0.25"/>
  <cols>
    <col min="1" max="1" width="10.28515625" customWidth="1"/>
    <col min="2" max="2" width="12.7109375" customWidth="1"/>
    <col min="3" max="4" width="12.28515625" customWidth="1"/>
    <col min="5" max="7" width="11.5703125" customWidth="1"/>
  </cols>
  <sheetData>
    <row r="1" spans="1:7" ht="98.25" customHeight="1" thickBot="1" x14ac:dyDescent="0.3">
      <c r="A1" s="964" t="s">
        <v>543</v>
      </c>
      <c r="B1" s="964"/>
      <c r="C1" s="964"/>
      <c r="D1" s="964"/>
      <c r="E1" s="964"/>
      <c r="F1" s="964"/>
      <c r="G1" s="964"/>
    </row>
    <row r="2" spans="1:7" x14ac:dyDescent="0.25">
      <c r="A2" s="987" t="s">
        <v>90</v>
      </c>
      <c r="B2" s="969" t="s">
        <v>53</v>
      </c>
      <c r="C2" s="955"/>
      <c r="D2" s="969" t="s">
        <v>56</v>
      </c>
      <c r="E2" s="955"/>
      <c r="F2" s="969" t="s">
        <v>57</v>
      </c>
      <c r="G2" s="955"/>
    </row>
    <row r="3" spans="1:7" ht="15.75" thickBot="1" x14ac:dyDescent="0.3">
      <c r="A3" s="988"/>
      <c r="B3" s="132" t="s">
        <v>60</v>
      </c>
      <c r="C3" s="133" t="s">
        <v>61</v>
      </c>
      <c r="D3" s="132" t="s">
        <v>60</v>
      </c>
      <c r="E3" s="133" t="s">
        <v>61</v>
      </c>
      <c r="F3" s="132" t="s">
        <v>60</v>
      </c>
      <c r="G3" s="133" t="s">
        <v>61</v>
      </c>
    </row>
    <row r="4" spans="1:7" ht="15.75" thickBot="1" x14ac:dyDescent="0.3">
      <c r="A4" s="948" t="s">
        <v>62</v>
      </c>
      <c r="B4" s="983"/>
      <c r="C4" s="983"/>
      <c r="D4" s="983"/>
      <c r="E4" s="983"/>
      <c r="F4" s="983"/>
      <c r="G4" s="949"/>
    </row>
    <row r="5" spans="1:7" x14ac:dyDescent="0.25">
      <c r="A5" s="314" t="s">
        <v>91</v>
      </c>
      <c r="B5" s="183">
        <v>38429</v>
      </c>
      <c r="C5" s="184">
        <f>+B5/SUM(B$5:B$14)</f>
        <v>0.74228815359950551</v>
      </c>
      <c r="D5" s="183">
        <v>30186</v>
      </c>
      <c r="E5" s="184">
        <f>+D5/SUM(D$5:D$14)</f>
        <v>0.76750572082379864</v>
      </c>
      <c r="F5" s="183">
        <v>27506</v>
      </c>
      <c r="G5" s="184">
        <f>+F5/SUM(F$5:F$14)</f>
        <v>0.77305303392259916</v>
      </c>
    </row>
    <row r="6" spans="1:7" x14ac:dyDescent="0.25">
      <c r="A6" s="200" t="s">
        <v>63</v>
      </c>
      <c r="B6" s="185">
        <v>11969</v>
      </c>
      <c r="C6" s="186">
        <f t="shared" ref="C6:E14" si="0">+B6/SUM(B$5:B$14)</f>
        <v>0.23119120743273261</v>
      </c>
      <c r="D6" s="185">
        <v>8267</v>
      </c>
      <c r="E6" s="186">
        <f t="shared" si="0"/>
        <v>0.2101957793033308</v>
      </c>
      <c r="F6" s="185">
        <v>7314</v>
      </c>
      <c r="G6" s="186">
        <f t="shared" ref="G6:G14" si="1">+F6/SUM(F$5:F$14)</f>
        <v>0.20555914673561732</v>
      </c>
    </row>
    <row r="7" spans="1:7" x14ac:dyDescent="0.25">
      <c r="A7" s="200" t="s">
        <v>64</v>
      </c>
      <c r="B7" s="185">
        <v>827</v>
      </c>
      <c r="C7" s="186">
        <f t="shared" si="0"/>
        <v>1.5974194046860211E-2</v>
      </c>
      <c r="D7" s="185">
        <v>504</v>
      </c>
      <c r="E7" s="186">
        <f t="shared" si="0"/>
        <v>1.2814645308924484E-2</v>
      </c>
      <c r="F7" s="185">
        <v>435</v>
      </c>
      <c r="G7" s="186">
        <f t="shared" si="1"/>
        <v>1.2225626036367725E-2</v>
      </c>
    </row>
    <row r="8" spans="1:7" x14ac:dyDescent="0.25">
      <c r="A8" s="200" t="s">
        <v>65</v>
      </c>
      <c r="B8" s="185">
        <v>298</v>
      </c>
      <c r="C8" s="186">
        <f t="shared" si="0"/>
        <v>5.7561182901624463E-3</v>
      </c>
      <c r="D8" s="185">
        <v>189</v>
      </c>
      <c r="E8" s="186">
        <f t="shared" si="0"/>
        <v>4.8054919908466819E-3</v>
      </c>
      <c r="F8" s="185">
        <v>163</v>
      </c>
      <c r="G8" s="186">
        <f t="shared" si="1"/>
        <v>4.5810966527079057E-3</v>
      </c>
    </row>
    <row r="9" spans="1:7" x14ac:dyDescent="0.25">
      <c r="A9" s="200" t="s">
        <v>66</v>
      </c>
      <c r="B9" s="185">
        <v>144</v>
      </c>
      <c r="C9" s="186">
        <f t="shared" si="0"/>
        <v>2.7814799791389001E-3</v>
      </c>
      <c r="D9" s="185">
        <v>105</v>
      </c>
      <c r="E9" s="186">
        <f t="shared" si="0"/>
        <v>2.6697177726926011E-3</v>
      </c>
      <c r="F9" s="185">
        <v>98</v>
      </c>
      <c r="G9" s="186">
        <f t="shared" si="1"/>
        <v>2.7542789691127286E-3</v>
      </c>
    </row>
    <row r="10" spans="1:7" x14ac:dyDescent="0.25">
      <c r="A10" s="200" t="s">
        <v>67</v>
      </c>
      <c r="B10" s="185">
        <v>57</v>
      </c>
      <c r="C10" s="186">
        <f t="shared" si="0"/>
        <v>1.1010024917424814E-3</v>
      </c>
      <c r="D10" s="185">
        <v>40</v>
      </c>
      <c r="E10" s="186">
        <f t="shared" si="0"/>
        <v>1.0170353419781336E-3</v>
      </c>
      <c r="F10" s="185">
        <v>31</v>
      </c>
      <c r="G10" s="186">
        <f t="shared" si="1"/>
        <v>8.7125151063769985E-4</v>
      </c>
    </row>
    <row r="11" spans="1:7" x14ac:dyDescent="0.25">
      <c r="A11" s="200" t="s">
        <v>68</v>
      </c>
      <c r="B11" s="185">
        <v>23</v>
      </c>
      <c r="C11" s="186">
        <f t="shared" si="0"/>
        <v>4.4426416333468544E-4</v>
      </c>
      <c r="D11" s="185">
        <v>19</v>
      </c>
      <c r="E11" s="186">
        <f t="shared" si="0"/>
        <v>4.8309178743961351E-4</v>
      </c>
      <c r="F11" s="185">
        <v>18</v>
      </c>
      <c r="G11" s="186">
        <f t="shared" si="1"/>
        <v>5.0588797391866447E-4</v>
      </c>
    </row>
    <row r="12" spans="1:7" x14ac:dyDescent="0.25">
      <c r="A12" s="200" t="s">
        <v>69</v>
      </c>
      <c r="B12" s="185">
        <v>15</v>
      </c>
      <c r="C12" s="186">
        <f t="shared" si="0"/>
        <v>2.8973749782696876E-4</v>
      </c>
      <c r="D12" s="185">
        <v>14</v>
      </c>
      <c r="E12" s="186">
        <f t="shared" si="0"/>
        <v>3.5596236969234681E-4</v>
      </c>
      <c r="F12" s="185">
        <v>12</v>
      </c>
      <c r="G12" s="186">
        <f t="shared" si="1"/>
        <v>3.3725864927910965E-4</v>
      </c>
    </row>
    <row r="13" spans="1:7" x14ac:dyDescent="0.25">
      <c r="A13" s="200" t="s">
        <v>70</v>
      </c>
      <c r="B13" s="185">
        <v>6</v>
      </c>
      <c r="C13" s="186">
        <f t="shared" si="0"/>
        <v>1.158949991307875E-4</v>
      </c>
      <c r="D13" s="185">
        <v>4</v>
      </c>
      <c r="E13" s="186">
        <f t="shared" si="0"/>
        <v>1.0170353419781337E-4</v>
      </c>
      <c r="F13" s="185">
        <v>4</v>
      </c>
      <c r="G13" s="186">
        <f t="shared" si="1"/>
        <v>1.1241954975970321E-4</v>
      </c>
    </row>
    <row r="14" spans="1:7" ht="15.75" thickBot="1" x14ac:dyDescent="0.3">
      <c r="A14" s="203" t="s">
        <v>92</v>
      </c>
      <c r="B14" s="187">
        <v>3</v>
      </c>
      <c r="C14" s="188">
        <f t="shared" si="0"/>
        <v>5.7947499565393751E-5</v>
      </c>
      <c r="D14" s="187">
        <v>2</v>
      </c>
      <c r="E14" s="188">
        <f t="shared" si="0"/>
        <v>5.0851767098906685E-5</v>
      </c>
      <c r="F14" s="187">
        <v>0</v>
      </c>
      <c r="G14" s="188">
        <f t="shared" si="1"/>
        <v>0</v>
      </c>
    </row>
    <row r="15" spans="1:7" ht="15.75" thickBot="1" x14ac:dyDescent="0.3">
      <c r="A15" s="948" t="s">
        <v>71</v>
      </c>
      <c r="B15" s="983"/>
      <c r="C15" s="983"/>
      <c r="D15" s="983"/>
      <c r="E15" s="983"/>
      <c r="F15" s="983"/>
      <c r="G15" s="949"/>
    </row>
    <row r="16" spans="1:7" x14ac:dyDescent="0.25">
      <c r="A16" s="314" t="s">
        <v>91</v>
      </c>
      <c r="B16" s="183">
        <v>3411</v>
      </c>
      <c r="C16" s="184">
        <f>+B16/SUM(B$16:B$25)</f>
        <v>0.18812045003309066</v>
      </c>
      <c r="D16" s="183">
        <v>3224</v>
      </c>
      <c r="E16" s="184">
        <f>+D16/SUM(D$16:D$25)</f>
        <v>0.19832677165354332</v>
      </c>
      <c r="F16" s="183">
        <v>2318</v>
      </c>
      <c r="G16" s="184">
        <f>+F16/SUM(F$16:F$25)</f>
        <v>0.17752929463123229</v>
      </c>
    </row>
    <row r="17" spans="1:7" x14ac:dyDescent="0.25">
      <c r="A17" s="200" t="s">
        <v>63</v>
      </c>
      <c r="B17" s="185">
        <v>6163</v>
      </c>
      <c r="C17" s="186">
        <f t="shared" ref="C17:E25" si="2">+B17/SUM(B$16:B$25)</f>
        <v>0.33989631590558128</v>
      </c>
      <c r="D17" s="185">
        <v>5472</v>
      </c>
      <c r="E17" s="186">
        <f t="shared" si="2"/>
        <v>0.33661417322834647</v>
      </c>
      <c r="F17" s="185">
        <v>4439</v>
      </c>
      <c r="G17" s="186">
        <f t="shared" ref="G17:G25" si="3">+F17/SUM(F$16:F$25)</f>
        <v>0.3399708968369457</v>
      </c>
    </row>
    <row r="18" spans="1:7" x14ac:dyDescent="0.25">
      <c r="A18" s="200" t="s">
        <v>64</v>
      </c>
      <c r="B18" s="185">
        <v>3257</v>
      </c>
      <c r="C18" s="186">
        <f t="shared" si="2"/>
        <v>0.17962717846900508</v>
      </c>
      <c r="D18" s="185">
        <v>2838</v>
      </c>
      <c r="E18" s="186">
        <f t="shared" si="2"/>
        <v>0.17458169291338582</v>
      </c>
      <c r="F18" s="185">
        <v>2325</v>
      </c>
      <c r="G18" s="186">
        <f t="shared" si="3"/>
        <v>0.17806540552960098</v>
      </c>
    </row>
    <row r="19" spans="1:7" x14ac:dyDescent="0.25">
      <c r="A19" s="200" t="s">
        <v>65</v>
      </c>
      <c r="B19" s="185">
        <v>2433</v>
      </c>
      <c r="C19" s="186">
        <f t="shared" si="2"/>
        <v>0.1341826604897419</v>
      </c>
      <c r="D19" s="185">
        <v>2151</v>
      </c>
      <c r="E19" s="186">
        <f t="shared" si="2"/>
        <v>0.13232037401574803</v>
      </c>
      <c r="F19" s="185">
        <v>1805</v>
      </c>
      <c r="G19" s="186">
        <f t="shared" si="3"/>
        <v>0.13824002450792677</v>
      </c>
    </row>
    <row r="20" spans="1:7" x14ac:dyDescent="0.25">
      <c r="A20" s="200" t="s">
        <v>66</v>
      </c>
      <c r="B20" s="185">
        <v>1588</v>
      </c>
      <c r="C20" s="186">
        <f t="shared" si="2"/>
        <v>8.7579969115376133E-2</v>
      </c>
      <c r="D20" s="185">
        <v>1427</v>
      </c>
      <c r="E20" s="186">
        <f t="shared" si="2"/>
        <v>8.7782972440944879E-2</v>
      </c>
      <c r="F20" s="185">
        <v>1183</v>
      </c>
      <c r="G20" s="186">
        <f t="shared" si="3"/>
        <v>9.0602741824308802E-2</v>
      </c>
    </row>
    <row r="21" spans="1:7" x14ac:dyDescent="0.25">
      <c r="A21" s="200" t="s">
        <v>67</v>
      </c>
      <c r="B21" s="185">
        <v>736</v>
      </c>
      <c r="C21" s="186">
        <f t="shared" si="2"/>
        <v>4.0591219942642844E-2</v>
      </c>
      <c r="D21" s="185">
        <v>665</v>
      </c>
      <c r="E21" s="186">
        <f t="shared" si="2"/>
        <v>4.0907972440944879E-2</v>
      </c>
      <c r="F21" s="185">
        <v>575</v>
      </c>
      <c r="G21" s="186">
        <f t="shared" si="3"/>
        <v>4.40376809374282E-2</v>
      </c>
    </row>
    <row r="22" spans="1:7" x14ac:dyDescent="0.25">
      <c r="A22" s="200" t="s">
        <v>68</v>
      </c>
      <c r="B22" s="185">
        <v>397</v>
      </c>
      <c r="C22" s="186">
        <f t="shared" si="2"/>
        <v>2.1894992278844033E-2</v>
      </c>
      <c r="D22" s="185">
        <v>353</v>
      </c>
      <c r="E22" s="186">
        <f t="shared" si="2"/>
        <v>2.171505905511811E-2</v>
      </c>
      <c r="F22" s="185">
        <v>311</v>
      </c>
      <c r="G22" s="186">
        <f t="shared" si="3"/>
        <v>2.3818641341808992E-2</v>
      </c>
    </row>
    <row r="23" spans="1:7" x14ac:dyDescent="0.25">
      <c r="A23" s="200" t="s">
        <v>69</v>
      </c>
      <c r="B23" s="185">
        <v>125</v>
      </c>
      <c r="C23" s="186">
        <f t="shared" si="2"/>
        <v>6.8938892565629829E-3</v>
      </c>
      <c r="D23" s="185">
        <v>106</v>
      </c>
      <c r="E23" s="186">
        <f t="shared" si="2"/>
        <v>6.5206692913385824E-3</v>
      </c>
      <c r="F23" s="185">
        <v>88</v>
      </c>
      <c r="G23" s="186">
        <f t="shared" si="3"/>
        <v>6.7396798652064023E-3</v>
      </c>
    </row>
    <row r="24" spans="1:7" x14ac:dyDescent="0.25">
      <c r="A24" s="200" t="s">
        <v>70</v>
      </c>
      <c r="B24" s="185">
        <v>15</v>
      </c>
      <c r="C24" s="186">
        <f t="shared" si="2"/>
        <v>8.2726671078755794E-4</v>
      </c>
      <c r="D24" s="185">
        <v>13</v>
      </c>
      <c r="E24" s="186">
        <f t="shared" si="2"/>
        <v>7.9970472440944881E-4</v>
      </c>
      <c r="F24" s="185">
        <v>7</v>
      </c>
      <c r="G24" s="186">
        <f t="shared" si="3"/>
        <v>5.3611089836869109E-4</v>
      </c>
    </row>
    <row r="25" spans="1:7" ht="15.75" thickBot="1" x14ac:dyDescent="0.3">
      <c r="A25" s="203" t="s">
        <v>92</v>
      </c>
      <c r="B25" s="187">
        <v>7</v>
      </c>
      <c r="C25" s="188">
        <f t="shared" si="2"/>
        <v>3.8605779836752702E-4</v>
      </c>
      <c r="D25" s="187">
        <v>7</v>
      </c>
      <c r="E25" s="188">
        <f t="shared" si="2"/>
        <v>4.3061023622047243E-4</v>
      </c>
      <c r="F25" s="187">
        <v>6</v>
      </c>
      <c r="G25" s="188">
        <f t="shared" si="3"/>
        <v>4.5952362717316381E-4</v>
      </c>
    </row>
    <row r="26" spans="1:7" ht="15.75" thickBot="1" x14ac:dyDescent="0.3">
      <c r="A26" s="984" t="s">
        <v>72</v>
      </c>
      <c r="B26" s="985"/>
      <c r="C26" s="985"/>
      <c r="D26" s="985"/>
      <c r="E26" s="985"/>
      <c r="F26" s="985"/>
      <c r="G26" s="986"/>
    </row>
    <row r="27" spans="1:7" x14ac:dyDescent="0.25">
      <c r="A27" s="314" t="s">
        <v>91</v>
      </c>
      <c r="B27" s="183">
        <v>40181</v>
      </c>
      <c r="C27" s="184">
        <f>+B27/SUM(B$27:B$36)</f>
        <v>0.59744256932570072</v>
      </c>
      <c r="D27" s="183">
        <v>32618</v>
      </c>
      <c r="E27" s="184">
        <f>+D27/SUM(D$27:D$36)</f>
        <v>0.59944132024846541</v>
      </c>
      <c r="F27" s="183">
        <v>29747</v>
      </c>
      <c r="G27" s="184">
        <f>+F27/SUM(F$27:F$36)</f>
        <v>0.61292316568108296</v>
      </c>
    </row>
    <row r="28" spans="1:7" x14ac:dyDescent="0.25">
      <c r="A28" s="200" t="s">
        <v>63</v>
      </c>
      <c r="B28" s="185">
        <v>17283</v>
      </c>
      <c r="C28" s="186">
        <f t="shared" ref="C28:E36" si="4">+B28/SUM(B$27:B$36)</f>
        <v>0.25697717641811019</v>
      </c>
      <c r="D28" s="185">
        <v>13418</v>
      </c>
      <c r="E28" s="186">
        <f t="shared" si="4"/>
        <v>0.24659095085823501</v>
      </c>
      <c r="F28" s="185">
        <v>11731</v>
      </c>
      <c r="G28" s="186">
        <f t="shared" ref="G28:G36" si="5">+F28/SUM(F$27:F$36)</f>
        <v>0.24171182494385263</v>
      </c>
    </row>
    <row r="29" spans="1:7" x14ac:dyDescent="0.25">
      <c r="A29" s="200" t="s">
        <v>64</v>
      </c>
      <c r="B29" s="185">
        <v>4002</v>
      </c>
      <c r="C29" s="186">
        <f t="shared" si="4"/>
        <v>5.9504869526429263E-2</v>
      </c>
      <c r="D29" s="185">
        <v>3308</v>
      </c>
      <c r="E29" s="186">
        <f t="shared" si="4"/>
        <v>6.0793178226191791E-2</v>
      </c>
      <c r="F29" s="185">
        <v>2759</v>
      </c>
      <c r="G29" s="186">
        <f t="shared" si="5"/>
        <v>5.6847917911524118E-2</v>
      </c>
    </row>
    <row r="30" spans="1:7" x14ac:dyDescent="0.25">
      <c r="A30" s="200" t="s">
        <v>65</v>
      </c>
      <c r="B30" s="185">
        <v>2699</v>
      </c>
      <c r="C30" s="186">
        <f t="shared" si="4"/>
        <v>4.0130845290312987E-2</v>
      </c>
      <c r="D30" s="185">
        <v>2327</v>
      </c>
      <c r="E30" s="186">
        <f t="shared" si="4"/>
        <v>4.2764729665159699E-2</v>
      </c>
      <c r="F30" s="185">
        <v>1965</v>
      </c>
      <c r="G30" s="186">
        <f t="shared" si="5"/>
        <v>4.0487915438979664E-2</v>
      </c>
    </row>
    <row r="31" spans="1:7" x14ac:dyDescent="0.25">
      <c r="A31" s="200" t="s">
        <v>66</v>
      </c>
      <c r="B31" s="185">
        <v>1716</v>
      </c>
      <c r="C31" s="186">
        <f t="shared" si="4"/>
        <v>2.5514831611032636E-2</v>
      </c>
      <c r="D31" s="185">
        <v>1526</v>
      </c>
      <c r="E31" s="186">
        <f t="shared" si="4"/>
        <v>2.8044253317161025E-2</v>
      </c>
      <c r="F31" s="185">
        <v>1280</v>
      </c>
      <c r="G31" s="186">
        <f t="shared" si="5"/>
        <v>2.6373807512414235E-2</v>
      </c>
    </row>
    <row r="32" spans="1:7" x14ac:dyDescent="0.25">
      <c r="A32" s="200" t="s">
        <v>67</v>
      </c>
      <c r="B32" s="185">
        <v>786</v>
      </c>
      <c r="C32" s="186">
        <f t="shared" si="4"/>
        <v>1.1686863430228235E-2</v>
      </c>
      <c r="D32" s="185">
        <v>702</v>
      </c>
      <c r="E32" s="186">
        <f t="shared" si="4"/>
        <v>1.2901091630830301E-2</v>
      </c>
      <c r="F32" s="185">
        <v>606</v>
      </c>
      <c r="G32" s="186">
        <f t="shared" si="5"/>
        <v>1.2486349494158614E-2</v>
      </c>
    </row>
    <row r="33" spans="1:8" x14ac:dyDescent="0.25">
      <c r="A33" s="200" t="s">
        <v>68</v>
      </c>
      <c r="B33" s="185">
        <v>419</v>
      </c>
      <c r="C33" s="186">
        <f t="shared" si="4"/>
        <v>6.2300200728570366E-3</v>
      </c>
      <c r="D33" s="185">
        <v>371</v>
      </c>
      <c r="E33" s="186">
        <f t="shared" si="4"/>
        <v>6.8180982835299737E-3</v>
      </c>
      <c r="F33" s="185">
        <v>328</v>
      </c>
      <c r="G33" s="186">
        <f t="shared" si="5"/>
        <v>6.758288175056147E-3</v>
      </c>
    </row>
    <row r="34" spans="1:8" x14ac:dyDescent="0.25">
      <c r="A34" s="200" t="s">
        <v>69</v>
      </c>
      <c r="B34" s="185">
        <v>139</v>
      </c>
      <c r="C34" s="186">
        <f t="shared" si="4"/>
        <v>2.0667608356256043E-3</v>
      </c>
      <c r="D34" s="185">
        <v>119</v>
      </c>
      <c r="E34" s="186">
        <f t="shared" si="4"/>
        <v>2.1869371852831993E-3</v>
      </c>
      <c r="F34" s="185">
        <v>100</v>
      </c>
      <c r="G34" s="186">
        <f t="shared" si="5"/>
        <v>2.0604537119073619E-3</v>
      </c>
    </row>
    <row r="35" spans="1:8" x14ac:dyDescent="0.25">
      <c r="A35" s="200" t="s">
        <v>70</v>
      </c>
      <c r="B35" s="185">
        <v>21</v>
      </c>
      <c r="C35" s="186">
        <f t="shared" si="4"/>
        <v>3.1224444279235745E-4</v>
      </c>
      <c r="D35" s="185">
        <v>17</v>
      </c>
      <c r="E35" s="186">
        <f t="shared" si="4"/>
        <v>3.124195978975999E-4</v>
      </c>
      <c r="F35" s="185">
        <v>11</v>
      </c>
      <c r="G35" s="186">
        <f t="shared" si="5"/>
        <v>2.2664990830980982E-4</v>
      </c>
    </row>
    <row r="36" spans="1:8" ht="15.75" thickBot="1" x14ac:dyDescent="0.3">
      <c r="A36" s="203" t="s">
        <v>92</v>
      </c>
      <c r="B36" s="187">
        <v>9</v>
      </c>
      <c r="C36" s="188">
        <f t="shared" si="4"/>
        <v>1.3381904691101034E-4</v>
      </c>
      <c r="D36" s="187">
        <v>8</v>
      </c>
      <c r="E36" s="188">
        <f t="shared" si="4"/>
        <v>1.4702098724592936E-4</v>
      </c>
      <c r="F36" s="187">
        <v>6</v>
      </c>
      <c r="G36" s="188">
        <f t="shared" si="5"/>
        <v>1.2362722271444171E-4</v>
      </c>
      <c r="H36" s="52"/>
    </row>
    <row r="37" spans="1:8" x14ac:dyDescent="0.25">
      <c r="A37" s="83"/>
      <c r="B37" s="83"/>
      <c r="C37" s="315"/>
      <c r="D37" s="83"/>
      <c r="E37" s="315"/>
      <c r="F37" s="83"/>
      <c r="G37" s="189" t="s">
        <v>404</v>
      </c>
    </row>
    <row r="38" spans="1:8" x14ac:dyDescent="0.25">
      <c r="A38" s="83"/>
      <c r="B38" s="83"/>
      <c r="C38" s="83"/>
      <c r="D38" s="83"/>
      <c r="E38" s="83"/>
      <c r="F38" s="83"/>
    </row>
  </sheetData>
  <mergeCells count="8">
    <mergeCell ref="A15:G15"/>
    <mergeCell ref="A26:G26"/>
    <mergeCell ref="A1:G1"/>
    <mergeCell ref="B2:C2"/>
    <mergeCell ref="D2:E2"/>
    <mergeCell ref="F2:G2"/>
    <mergeCell ref="A4:G4"/>
    <mergeCell ref="A2:A3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27"/>
  <sheetViews>
    <sheetView zoomScaleNormal="100" workbookViewId="0">
      <selection sqref="A1:J1"/>
    </sheetView>
  </sheetViews>
  <sheetFormatPr defaultRowHeight="15" x14ac:dyDescent="0.25"/>
  <cols>
    <col min="1" max="1" width="11.140625" style="15" customWidth="1"/>
    <col min="2" max="10" width="13.140625" customWidth="1"/>
  </cols>
  <sheetData>
    <row r="1" spans="1:10" ht="67.5" customHeight="1" thickBot="1" x14ac:dyDescent="0.3">
      <c r="A1" s="992" t="s">
        <v>544</v>
      </c>
      <c r="B1" s="992"/>
      <c r="C1" s="992"/>
      <c r="D1" s="992"/>
      <c r="E1" s="992"/>
      <c r="F1" s="992"/>
      <c r="G1" s="992"/>
      <c r="H1" s="992"/>
      <c r="I1" s="992"/>
      <c r="J1" s="992"/>
    </row>
    <row r="2" spans="1:10" x14ac:dyDescent="0.25">
      <c r="A2" s="190" t="s">
        <v>93</v>
      </c>
      <c r="B2" s="976" t="s">
        <v>411</v>
      </c>
      <c r="C2" s="993"/>
      <c r="D2" s="977"/>
      <c r="E2" s="976" t="s">
        <v>95</v>
      </c>
      <c r="F2" s="993"/>
      <c r="G2" s="977"/>
      <c r="H2" s="976" t="s">
        <v>96</v>
      </c>
      <c r="I2" s="993"/>
      <c r="J2" s="977"/>
    </row>
    <row r="3" spans="1:10" ht="15.75" thickBot="1" x14ac:dyDescent="0.3">
      <c r="A3" s="191"/>
      <c r="B3" s="192" t="s">
        <v>73</v>
      </c>
      <c r="C3" s="193" t="s">
        <v>75</v>
      </c>
      <c r="D3" s="194" t="s">
        <v>74</v>
      </c>
      <c r="E3" s="192" t="s">
        <v>73</v>
      </c>
      <c r="F3" s="193" t="s">
        <v>75</v>
      </c>
      <c r="G3" s="194" t="s">
        <v>74</v>
      </c>
      <c r="H3" s="192" t="s">
        <v>73</v>
      </c>
      <c r="I3" s="193" t="s">
        <v>75</v>
      </c>
      <c r="J3" s="195" t="s">
        <v>74</v>
      </c>
    </row>
    <row r="4" spans="1:10" ht="15.75" thickBot="1" x14ac:dyDescent="0.3">
      <c r="A4" s="196" t="s">
        <v>97</v>
      </c>
      <c r="B4" s="989">
        <v>2007</v>
      </c>
      <c r="C4" s="990"/>
      <c r="D4" s="990"/>
      <c r="E4" s="990"/>
      <c r="F4" s="990"/>
      <c r="G4" s="990"/>
      <c r="H4" s="990"/>
      <c r="I4" s="990"/>
      <c r="J4" s="991"/>
    </row>
    <row r="5" spans="1:10" x14ac:dyDescent="0.25">
      <c r="A5" s="197" t="s">
        <v>98</v>
      </c>
      <c r="B5" s="183">
        <v>38983</v>
      </c>
      <c r="C5" s="198">
        <v>42202</v>
      </c>
      <c r="D5" s="199">
        <v>0.48017490915809569</v>
      </c>
      <c r="E5" s="183">
        <v>36965</v>
      </c>
      <c r="F5" s="198">
        <v>16242</v>
      </c>
      <c r="G5" s="199">
        <v>0.69473941398688144</v>
      </c>
      <c r="H5" s="183">
        <v>4206</v>
      </c>
      <c r="I5" s="198">
        <v>27652</v>
      </c>
      <c r="J5" s="199">
        <v>0.13202335363174084</v>
      </c>
    </row>
    <row r="6" spans="1:10" x14ac:dyDescent="0.25">
      <c r="A6" s="200" t="s">
        <v>56</v>
      </c>
      <c r="B6" s="185">
        <v>32663</v>
      </c>
      <c r="C6" s="201">
        <v>32497</v>
      </c>
      <c r="D6" s="202">
        <v>0.50127378759975449</v>
      </c>
      <c r="E6" s="185">
        <v>30382</v>
      </c>
      <c r="F6" s="201">
        <v>11647</v>
      </c>
      <c r="G6" s="202">
        <v>0.72288181969592424</v>
      </c>
      <c r="H6" s="185">
        <v>3289</v>
      </c>
      <c r="I6" s="201">
        <v>21399</v>
      </c>
      <c r="J6" s="202">
        <v>0.13322261827608556</v>
      </c>
    </row>
    <row r="7" spans="1:10" ht="15.75" thickBot="1" x14ac:dyDescent="0.3">
      <c r="A7" s="203" t="s">
        <v>57</v>
      </c>
      <c r="B7" s="187">
        <v>29773</v>
      </c>
      <c r="C7" s="204">
        <v>28822</v>
      </c>
      <c r="D7" s="205">
        <v>0.50811502687942656</v>
      </c>
      <c r="E7" s="187">
        <v>27687</v>
      </c>
      <c r="F7" s="204">
        <v>9928</v>
      </c>
      <c r="G7" s="205">
        <v>0.73606274092782131</v>
      </c>
      <c r="H7" s="187">
        <v>2236</v>
      </c>
      <c r="I7" s="204">
        <v>18991</v>
      </c>
      <c r="J7" s="205">
        <v>0.10533754180995901</v>
      </c>
    </row>
    <row r="8" spans="1:10" ht="15.75" thickBot="1" x14ac:dyDescent="0.3">
      <c r="A8" s="196" t="s">
        <v>97</v>
      </c>
      <c r="B8" s="989">
        <v>2008</v>
      </c>
      <c r="C8" s="990"/>
      <c r="D8" s="990"/>
      <c r="E8" s="990"/>
      <c r="F8" s="990"/>
      <c r="G8" s="990"/>
      <c r="H8" s="990"/>
      <c r="I8" s="990"/>
      <c r="J8" s="991"/>
    </row>
    <row r="9" spans="1:10" x14ac:dyDescent="0.25">
      <c r="A9" s="197" t="s">
        <v>98</v>
      </c>
      <c r="B9" s="183">
        <v>38407</v>
      </c>
      <c r="C9" s="198">
        <v>38153</v>
      </c>
      <c r="D9" s="199">
        <v>0.50165882967607101</v>
      </c>
      <c r="E9" s="183">
        <v>36259</v>
      </c>
      <c r="F9" s="198">
        <v>15070</v>
      </c>
      <c r="G9" s="199">
        <v>0.70640378733269693</v>
      </c>
      <c r="H9" s="183">
        <v>4223</v>
      </c>
      <c r="I9" s="198">
        <v>24557</v>
      </c>
      <c r="J9" s="199">
        <v>0.14673384294649061</v>
      </c>
    </row>
    <row r="10" spans="1:10" x14ac:dyDescent="0.25">
      <c r="A10" s="200" t="s">
        <v>56</v>
      </c>
      <c r="B10" s="185">
        <v>31952</v>
      </c>
      <c r="C10" s="201">
        <v>29753</v>
      </c>
      <c r="D10" s="202">
        <v>0.5178186532695892</v>
      </c>
      <c r="E10" s="185">
        <v>29321</v>
      </c>
      <c r="F10" s="201">
        <v>10563</v>
      </c>
      <c r="G10" s="202">
        <v>0.73515695516999302</v>
      </c>
      <c r="H10" s="185">
        <v>3977</v>
      </c>
      <c r="I10" s="201">
        <v>19730</v>
      </c>
      <c r="J10" s="202">
        <v>0.16775635888134308</v>
      </c>
    </row>
    <row r="11" spans="1:10" ht="15.75" thickBot="1" x14ac:dyDescent="0.3">
      <c r="A11" s="203" t="s">
        <v>57</v>
      </c>
      <c r="B11" s="187">
        <v>29074</v>
      </c>
      <c r="C11" s="204">
        <v>26741</v>
      </c>
      <c r="D11" s="205">
        <v>0.52089939980292033</v>
      </c>
      <c r="E11" s="187">
        <v>26559</v>
      </c>
      <c r="F11" s="204">
        <v>9058</v>
      </c>
      <c r="G11" s="205">
        <v>0.74568324114888962</v>
      </c>
      <c r="H11" s="187">
        <v>2802</v>
      </c>
      <c r="I11" s="204">
        <v>17804</v>
      </c>
      <c r="J11" s="205">
        <v>0.13597981170532855</v>
      </c>
    </row>
    <row r="12" spans="1:10" ht="15.75" thickBot="1" x14ac:dyDescent="0.3">
      <c r="A12" s="196" t="s">
        <v>97</v>
      </c>
      <c r="B12" s="989">
        <v>2009</v>
      </c>
      <c r="C12" s="990"/>
      <c r="D12" s="990"/>
      <c r="E12" s="990"/>
      <c r="F12" s="990"/>
      <c r="G12" s="990"/>
      <c r="H12" s="990"/>
      <c r="I12" s="990"/>
      <c r="J12" s="991"/>
    </row>
    <row r="13" spans="1:10" x14ac:dyDescent="0.25">
      <c r="A13" s="197" t="s">
        <v>98</v>
      </c>
      <c r="B13" s="183">
        <v>38628</v>
      </c>
      <c r="C13" s="198">
        <v>37001</v>
      </c>
      <c r="D13" s="199">
        <v>0.51075645585688034</v>
      </c>
      <c r="E13" s="183">
        <v>36824</v>
      </c>
      <c r="F13" s="198">
        <v>17480</v>
      </c>
      <c r="G13" s="199">
        <v>0.67810842663523863</v>
      </c>
      <c r="H13" s="183">
        <v>3587</v>
      </c>
      <c r="I13" s="198">
        <v>21133</v>
      </c>
      <c r="J13" s="199">
        <v>0.14510517799352751</v>
      </c>
    </row>
    <row r="14" spans="1:10" x14ac:dyDescent="0.25">
      <c r="A14" s="200" t="s">
        <v>56</v>
      </c>
      <c r="B14" s="185">
        <v>31877</v>
      </c>
      <c r="C14" s="201">
        <v>28287</v>
      </c>
      <c r="D14" s="202">
        <v>0.52983511734592115</v>
      </c>
      <c r="E14" s="185">
        <v>29726</v>
      </c>
      <c r="F14" s="201">
        <v>12393</v>
      </c>
      <c r="G14" s="202">
        <v>0.7057622450675467</v>
      </c>
      <c r="H14" s="185">
        <v>3218</v>
      </c>
      <c r="I14" s="201">
        <v>16424</v>
      </c>
      <c r="J14" s="202">
        <v>0.16383260360452093</v>
      </c>
    </row>
    <row r="15" spans="1:10" ht="15.75" thickBot="1" x14ac:dyDescent="0.3">
      <c r="A15" s="203" t="s">
        <v>57</v>
      </c>
      <c r="B15" s="187">
        <v>28768</v>
      </c>
      <c r="C15" s="204">
        <v>24595</v>
      </c>
      <c r="D15" s="205">
        <v>0.53910012555515996</v>
      </c>
      <c r="E15" s="187">
        <v>26870</v>
      </c>
      <c r="F15" s="204">
        <v>10873</v>
      </c>
      <c r="G15" s="205">
        <v>0.71192009114272847</v>
      </c>
      <c r="H15" s="187">
        <v>2042</v>
      </c>
      <c r="I15" s="204">
        <v>13791</v>
      </c>
      <c r="J15" s="205">
        <v>0.12897113623444703</v>
      </c>
    </row>
    <row r="16" spans="1:10" ht="15.75" thickBot="1" x14ac:dyDescent="0.3">
      <c r="A16" s="196" t="s">
        <v>97</v>
      </c>
      <c r="B16" s="989">
        <v>2010</v>
      </c>
      <c r="C16" s="990"/>
      <c r="D16" s="990"/>
      <c r="E16" s="990"/>
      <c r="F16" s="990"/>
      <c r="G16" s="990"/>
      <c r="H16" s="990"/>
      <c r="I16" s="990"/>
      <c r="J16" s="991"/>
    </row>
    <row r="17" spans="1:10" x14ac:dyDescent="0.25">
      <c r="A17" s="197" t="s">
        <v>98</v>
      </c>
      <c r="B17" s="183">
        <v>38746</v>
      </c>
      <c r="C17" s="198">
        <v>34313</v>
      </c>
      <c r="D17" s="199">
        <v>0.53033849354631191</v>
      </c>
      <c r="E17" s="183">
        <v>36948</v>
      </c>
      <c r="F17" s="198">
        <v>15743</v>
      </c>
      <c r="G17" s="199">
        <v>0.70122032225617281</v>
      </c>
      <c r="H17" s="183">
        <v>3550</v>
      </c>
      <c r="I17" s="198">
        <v>19918</v>
      </c>
      <c r="J17" s="199">
        <v>0.15126981421510141</v>
      </c>
    </row>
    <row r="18" spans="1:10" x14ac:dyDescent="0.25">
      <c r="A18" s="200" t="s">
        <v>56</v>
      </c>
      <c r="B18" s="185">
        <v>30281</v>
      </c>
      <c r="C18" s="201">
        <v>25321</v>
      </c>
      <c r="D18" s="202">
        <v>0.5446027121326571</v>
      </c>
      <c r="E18" s="185">
        <v>27852</v>
      </c>
      <c r="F18" s="201">
        <v>10012</v>
      </c>
      <c r="G18" s="202">
        <v>0.73557997042045209</v>
      </c>
      <c r="H18" s="185">
        <v>3296</v>
      </c>
      <c r="I18" s="201">
        <v>15717</v>
      </c>
      <c r="J18" s="202">
        <v>0.1733550728448956</v>
      </c>
    </row>
    <row r="19" spans="1:10" ht="15.75" thickBot="1" x14ac:dyDescent="0.3">
      <c r="A19" s="203" t="s">
        <v>57</v>
      </c>
      <c r="B19" s="187">
        <v>27249</v>
      </c>
      <c r="C19" s="204">
        <v>21897</v>
      </c>
      <c r="D19" s="205">
        <v>0.55445000610426076</v>
      </c>
      <c r="E19" s="187">
        <v>25182</v>
      </c>
      <c r="F19" s="204">
        <v>8772</v>
      </c>
      <c r="G19" s="205">
        <v>0.74165046828061498</v>
      </c>
      <c r="H19" s="187">
        <v>2169</v>
      </c>
      <c r="I19" s="204">
        <v>13159</v>
      </c>
      <c r="J19" s="205">
        <v>0.14150574112734865</v>
      </c>
    </row>
    <row r="20" spans="1:10" ht="15.75" thickBot="1" x14ac:dyDescent="0.3">
      <c r="A20" s="196" t="s">
        <v>97</v>
      </c>
      <c r="B20" s="989">
        <v>2011</v>
      </c>
      <c r="C20" s="990"/>
      <c r="D20" s="990"/>
      <c r="E20" s="990"/>
      <c r="F20" s="990"/>
      <c r="G20" s="990"/>
      <c r="H20" s="990"/>
      <c r="I20" s="990"/>
      <c r="J20" s="991"/>
    </row>
    <row r="21" spans="1:10" x14ac:dyDescent="0.25">
      <c r="A21" s="197" t="s">
        <v>98</v>
      </c>
      <c r="B21" s="183">
        <v>36233</v>
      </c>
      <c r="C21" s="198">
        <v>31098</v>
      </c>
      <c r="D21" s="199">
        <v>0.53813250954240988</v>
      </c>
      <c r="E21" s="183">
        <v>34856</v>
      </c>
      <c r="F21" s="198">
        <v>16989</v>
      </c>
      <c r="G21" s="199">
        <v>0.67231169833156523</v>
      </c>
      <c r="H21" s="183">
        <v>2734</v>
      </c>
      <c r="I21" s="198">
        <v>15399</v>
      </c>
      <c r="J21" s="199">
        <v>0.15077483041967682</v>
      </c>
    </row>
    <row r="22" spans="1:10" x14ac:dyDescent="0.25">
      <c r="A22" s="200" t="s">
        <v>56</v>
      </c>
      <c r="B22" s="185">
        <v>29534</v>
      </c>
      <c r="C22" s="201">
        <v>24903</v>
      </c>
      <c r="D22" s="202">
        <v>0.54253540790271326</v>
      </c>
      <c r="E22" s="185">
        <v>27594</v>
      </c>
      <c r="F22" s="201">
        <v>11758</v>
      </c>
      <c r="G22" s="202">
        <v>0.70120959544622896</v>
      </c>
      <c r="H22" s="185">
        <v>2597</v>
      </c>
      <c r="I22" s="201">
        <v>13660</v>
      </c>
      <c r="J22" s="202">
        <v>0.15974657070800272</v>
      </c>
    </row>
    <row r="23" spans="1:10" ht="15.75" thickBot="1" x14ac:dyDescent="0.3">
      <c r="A23" s="203" t="s">
        <v>57</v>
      </c>
      <c r="B23" s="187">
        <v>26906</v>
      </c>
      <c r="C23" s="204">
        <v>21628</v>
      </c>
      <c r="D23" s="205">
        <v>0.55437425310091892</v>
      </c>
      <c r="E23" s="187">
        <v>25155</v>
      </c>
      <c r="F23" s="204">
        <v>10427</v>
      </c>
      <c r="G23" s="205">
        <v>0.70695857456017086</v>
      </c>
      <c r="H23" s="187">
        <v>1819</v>
      </c>
      <c r="I23" s="204">
        <v>11238</v>
      </c>
      <c r="J23" s="205">
        <v>0.13931224630466416</v>
      </c>
    </row>
    <row r="24" spans="1:10" x14ac:dyDescent="0.25">
      <c r="A24" s="206"/>
      <c r="B24" s="83"/>
      <c r="C24" s="83"/>
      <c r="D24" s="83"/>
      <c r="E24" s="83"/>
      <c r="F24" s="83"/>
      <c r="G24" s="83"/>
      <c r="H24" s="83"/>
      <c r="I24" s="83"/>
      <c r="J24" s="18" t="s">
        <v>404</v>
      </c>
    </row>
    <row r="25" spans="1:10" x14ac:dyDescent="0.25">
      <c r="B25" s="52"/>
      <c r="E25" s="52"/>
    </row>
    <row r="27" spans="1:10" x14ac:dyDescent="0.25">
      <c r="E27" s="52"/>
    </row>
  </sheetData>
  <mergeCells count="9">
    <mergeCell ref="B20:J20"/>
    <mergeCell ref="B16:J16"/>
    <mergeCell ref="A1:J1"/>
    <mergeCell ref="B4:J4"/>
    <mergeCell ref="B8:J8"/>
    <mergeCell ref="B12:J12"/>
    <mergeCell ref="B2:D2"/>
    <mergeCell ref="E2:G2"/>
    <mergeCell ref="H2:J2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66"/>
  <sheetViews>
    <sheetView zoomScaleNormal="100" zoomScaleSheetLayoutView="85" workbookViewId="0">
      <selection sqref="A1:J1"/>
    </sheetView>
  </sheetViews>
  <sheetFormatPr defaultRowHeight="15" x14ac:dyDescent="0.25"/>
  <cols>
    <col min="1" max="1" width="15.7109375" style="318" customWidth="1"/>
    <col min="2" max="2" width="9.42578125" style="318" customWidth="1"/>
    <col min="3" max="3" width="8.28515625" style="318" customWidth="1"/>
    <col min="4" max="4" width="8.140625" style="318" customWidth="1"/>
    <col min="5" max="5" width="8.85546875" style="318" customWidth="1"/>
    <col min="6" max="6" width="7.5703125" style="318" customWidth="1"/>
    <col min="7" max="7" width="7.140625" style="318" customWidth="1"/>
    <col min="8" max="8" width="8.85546875" style="318" customWidth="1"/>
    <col min="9" max="9" width="8" style="318" customWidth="1"/>
    <col min="10" max="10" width="7.140625" style="318" customWidth="1"/>
    <col min="11" max="16384" width="9.140625" style="27"/>
  </cols>
  <sheetData>
    <row r="1" spans="1:10" ht="51" customHeight="1" thickBot="1" x14ac:dyDescent="0.3">
      <c r="A1" s="994" t="s">
        <v>539</v>
      </c>
      <c r="B1" s="994"/>
      <c r="C1" s="994"/>
      <c r="D1" s="994"/>
      <c r="E1" s="994"/>
      <c r="F1" s="994"/>
      <c r="G1" s="994"/>
      <c r="H1" s="994"/>
      <c r="I1" s="994"/>
      <c r="J1" s="994"/>
    </row>
    <row r="2" spans="1:10" ht="24.75" customHeight="1" thickBot="1" x14ac:dyDescent="0.3">
      <c r="A2" s="303" t="s">
        <v>93</v>
      </c>
      <c r="B2" s="995" t="s">
        <v>95</v>
      </c>
      <c r="C2" s="996"/>
      <c r="D2" s="997"/>
      <c r="E2" s="995" t="s">
        <v>96</v>
      </c>
      <c r="F2" s="996"/>
      <c r="G2" s="997"/>
      <c r="H2" s="995" t="s">
        <v>94</v>
      </c>
      <c r="I2" s="996"/>
      <c r="J2" s="997"/>
    </row>
    <row r="3" spans="1:10" ht="18.75" customHeight="1" x14ac:dyDescent="0.25">
      <c r="A3" s="1005" t="s">
        <v>47</v>
      </c>
      <c r="B3" s="995" t="s">
        <v>76</v>
      </c>
      <c r="C3" s="996"/>
      <c r="D3" s="997"/>
      <c r="E3" s="995" t="s">
        <v>76</v>
      </c>
      <c r="F3" s="996"/>
      <c r="G3" s="997"/>
      <c r="H3" s="995" t="s">
        <v>76</v>
      </c>
      <c r="I3" s="996"/>
      <c r="J3" s="997"/>
    </row>
    <row r="4" spans="1:10" ht="18.75" customHeight="1" x14ac:dyDescent="0.25">
      <c r="A4" s="1006"/>
      <c r="B4" s="1002" t="s">
        <v>77</v>
      </c>
      <c r="C4" s="1003"/>
      <c r="D4" s="1004"/>
      <c r="E4" s="1002" t="s">
        <v>77</v>
      </c>
      <c r="F4" s="1003"/>
      <c r="G4" s="1004"/>
      <c r="H4" s="1002" t="s">
        <v>77</v>
      </c>
      <c r="I4" s="1003"/>
      <c r="J4" s="1004"/>
    </row>
    <row r="5" spans="1:10" ht="17.25" customHeight="1" x14ac:dyDescent="0.25">
      <c r="A5" s="1006"/>
      <c r="B5" s="1000" t="s">
        <v>78</v>
      </c>
      <c r="C5" s="207" t="s">
        <v>99</v>
      </c>
      <c r="D5" s="208"/>
      <c r="E5" s="1000" t="s">
        <v>78</v>
      </c>
      <c r="F5" s="207" t="s">
        <v>99</v>
      </c>
      <c r="G5" s="208"/>
      <c r="H5" s="1000" t="s">
        <v>78</v>
      </c>
      <c r="I5" s="207" t="s">
        <v>99</v>
      </c>
      <c r="J5" s="208"/>
    </row>
    <row r="6" spans="1:10" ht="86.25" customHeight="1" thickBot="1" x14ac:dyDescent="0.3">
      <c r="A6" s="1007"/>
      <c r="B6" s="1001"/>
      <c r="C6" s="209" t="s">
        <v>60</v>
      </c>
      <c r="D6" s="210" t="s">
        <v>100</v>
      </c>
      <c r="E6" s="1001"/>
      <c r="F6" s="209" t="s">
        <v>60</v>
      </c>
      <c r="G6" s="210" t="s">
        <v>100</v>
      </c>
      <c r="H6" s="1001"/>
      <c r="I6" s="209" t="s">
        <v>60</v>
      </c>
      <c r="J6" s="210" t="s">
        <v>100</v>
      </c>
    </row>
    <row r="7" spans="1:10" x14ac:dyDescent="0.25">
      <c r="A7" s="1008" t="s">
        <v>25</v>
      </c>
      <c r="B7" s="219">
        <v>3564</v>
      </c>
      <c r="C7" s="220">
        <v>2932</v>
      </c>
      <c r="D7" s="221">
        <f>C7/B7</f>
        <v>0.82267115600448937</v>
      </c>
      <c r="E7" s="219">
        <v>787</v>
      </c>
      <c r="F7" s="220">
        <v>512</v>
      </c>
      <c r="G7" s="221">
        <f>F7/E7</f>
        <v>0.65057179161372303</v>
      </c>
      <c r="H7" s="316">
        <v>4351</v>
      </c>
      <c r="I7" s="220">
        <v>3444</v>
      </c>
      <c r="J7" s="221">
        <f>I7/H7</f>
        <v>0.79154217421282469</v>
      </c>
    </row>
    <row r="8" spans="1:10" x14ac:dyDescent="0.25">
      <c r="A8" s="999"/>
      <c r="B8" s="211">
        <v>2429</v>
      </c>
      <c r="C8" s="212">
        <v>2171</v>
      </c>
      <c r="D8" s="213">
        <f t="shared" ref="D8:D64" si="0">C8/B8</f>
        <v>0.89378344997941539</v>
      </c>
      <c r="E8" s="211">
        <v>594</v>
      </c>
      <c r="F8" s="212">
        <v>410</v>
      </c>
      <c r="G8" s="213">
        <f t="shared" ref="G8:G64" si="1">F8/E8</f>
        <v>0.6902356902356902</v>
      </c>
      <c r="H8" s="317">
        <v>3023</v>
      </c>
      <c r="I8" s="212">
        <v>2581</v>
      </c>
      <c r="J8" s="213">
        <f t="shared" ref="J8:J64" si="2">I8/H8</f>
        <v>0.85378762818392329</v>
      </c>
    </row>
    <row r="9" spans="1:10" x14ac:dyDescent="0.25">
      <c r="A9" s="998" t="s">
        <v>26</v>
      </c>
      <c r="B9" s="211">
        <v>3179</v>
      </c>
      <c r="C9" s="212">
        <v>2641</v>
      </c>
      <c r="D9" s="213">
        <f t="shared" si="0"/>
        <v>0.83076439131802449</v>
      </c>
      <c r="E9" s="211">
        <v>0</v>
      </c>
      <c r="F9" s="212">
        <v>0</v>
      </c>
      <c r="G9" s="214" t="s">
        <v>101</v>
      </c>
      <c r="H9" s="317">
        <v>3179</v>
      </c>
      <c r="I9" s="212">
        <v>2641</v>
      </c>
      <c r="J9" s="213">
        <f t="shared" si="2"/>
        <v>0.83076439131802449</v>
      </c>
    </row>
    <row r="10" spans="1:10" x14ac:dyDescent="0.25">
      <c r="A10" s="999"/>
      <c r="B10" s="211">
        <v>2434</v>
      </c>
      <c r="C10" s="212">
        <v>2100</v>
      </c>
      <c r="D10" s="213">
        <f t="shared" si="0"/>
        <v>0.86277732128184059</v>
      </c>
      <c r="E10" s="211">
        <v>0</v>
      </c>
      <c r="F10" s="212">
        <v>0</v>
      </c>
      <c r="G10" s="214" t="s">
        <v>101</v>
      </c>
      <c r="H10" s="317">
        <v>2434</v>
      </c>
      <c r="I10" s="212">
        <v>2100</v>
      </c>
      <c r="J10" s="213">
        <f t="shared" si="2"/>
        <v>0.86277732128184059</v>
      </c>
    </row>
    <row r="11" spans="1:10" x14ac:dyDescent="0.25">
      <c r="A11" s="998" t="s">
        <v>29</v>
      </c>
      <c r="B11" s="211">
        <v>2656</v>
      </c>
      <c r="C11" s="212">
        <v>2179</v>
      </c>
      <c r="D11" s="213">
        <f t="shared" si="0"/>
        <v>0.82040662650602414</v>
      </c>
      <c r="E11" s="211">
        <v>899</v>
      </c>
      <c r="F11" s="212">
        <v>522</v>
      </c>
      <c r="G11" s="213">
        <f t="shared" si="1"/>
        <v>0.58064516129032262</v>
      </c>
      <c r="H11" s="317">
        <v>3555</v>
      </c>
      <c r="I11" s="212">
        <v>2701</v>
      </c>
      <c r="J11" s="213">
        <f t="shared" si="2"/>
        <v>0.75977496483825602</v>
      </c>
    </row>
    <row r="12" spans="1:10" x14ac:dyDescent="0.25">
      <c r="A12" s="999"/>
      <c r="B12" s="211">
        <v>1616</v>
      </c>
      <c r="C12" s="212">
        <v>1548</v>
      </c>
      <c r="D12" s="213">
        <f t="shared" si="0"/>
        <v>0.95792079207920788</v>
      </c>
      <c r="E12" s="211">
        <v>318</v>
      </c>
      <c r="F12" s="212">
        <v>273</v>
      </c>
      <c r="G12" s="213">
        <f t="shared" si="1"/>
        <v>0.85849056603773588</v>
      </c>
      <c r="H12" s="317">
        <v>1934</v>
      </c>
      <c r="I12" s="212">
        <v>1821</v>
      </c>
      <c r="J12" s="213">
        <f t="shared" si="2"/>
        <v>0.94157187176835577</v>
      </c>
    </row>
    <row r="13" spans="1:10" x14ac:dyDescent="0.25">
      <c r="A13" s="998" t="s">
        <v>32</v>
      </c>
      <c r="B13" s="211">
        <v>1359</v>
      </c>
      <c r="C13" s="212">
        <v>1181</v>
      </c>
      <c r="D13" s="213">
        <f t="shared" si="0"/>
        <v>0.86902133922001468</v>
      </c>
      <c r="E13" s="211">
        <v>628</v>
      </c>
      <c r="F13" s="212">
        <v>427</v>
      </c>
      <c r="G13" s="213">
        <f t="shared" si="1"/>
        <v>0.67993630573248409</v>
      </c>
      <c r="H13" s="317">
        <v>1987</v>
      </c>
      <c r="I13" s="212">
        <v>1608</v>
      </c>
      <c r="J13" s="213">
        <f t="shared" si="2"/>
        <v>0.80926019124308002</v>
      </c>
    </row>
    <row r="14" spans="1:10" x14ac:dyDescent="0.25">
      <c r="A14" s="999"/>
      <c r="B14" s="211">
        <v>1256</v>
      </c>
      <c r="C14" s="212">
        <v>1145</v>
      </c>
      <c r="D14" s="213">
        <f t="shared" si="0"/>
        <v>0.9116242038216561</v>
      </c>
      <c r="E14" s="211">
        <v>521</v>
      </c>
      <c r="F14" s="212">
        <v>394</v>
      </c>
      <c r="G14" s="213">
        <f t="shared" si="1"/>
        <v>0.7562380038387716</v>
      </c>
      <c r="H14" s="317">
        <v>1777</v>
      </c>
      <c r="I14" s="212">
        <v>1539</v>
      </c>
      <c r="J14" s="213">
        <f t="shared" si="2"/>
        <v>0.8660664040517726</v>
      </c>
    </row>
    <row r="15" spans="1:10" x14ac:dyDescent="0.25">
      <c r="A15" s="998" t="s">
        <v>38</v>
      </c>
      <c r="B15" s="211">
        <v>517</v>
      </c>
      <c r="C15" s="212">
        <v>425</v>
      </c>
      <c r="D15" s="213">
        <f t="shared" si="0"/>
        <v>0.82205029013539654</v>
      </c>
      <c r="E15" s="211">
        <v>266</v>
      </c>
      <c r="F15" s="212">
        <v>194</v>
      </c>
      <c r="G15" s="213">
        <f t="shared" si="1"/>
        <v>0.72932330827067671</v>
      </c>
      <c r="H15" s="317">
        <v>783</v>
      </c>
      <c r="I15" s="212">
        <v>619</v>
      </c>
      <c r="J15" s="213">
        <f t="shared" si="2"/>
        <v>0.79054916985951473</v>
      </c>
    </row>
    <row r="16" spans="1:10" x14ac:dyDescent="0.25">
      <c r="A16" s="999"/>
      <c r="B16" s="211">
        <v>443</v>
      </c>
      <c r="C16" s="212">
        <v>400</v>
      </c>
      <c r="D16" s="213">
        <f t="shared" si="0"/>
        <v>0.90293453724604966</v>
      </c>
      <c r="E16" s="211">
        <v>227</v>
      </c>
      <c r="F16" s="212">
        <v>174</v>
      </c>
      <c r="G16" s="213">
        <f t="shared" si="1"/>
        <v>0.76651982378854622</v>
      </c>
      <c r="H16" s="317">
        <v>670</v>
      </c>
      <c r="I16" s="212">
        <v>574</v>
      </c>
      <c r="J16" s="213">
        <f t="shared" si="2"/>
        <v>0.85671641791044773</v>
      </c>
    </row>
    <row r="17" spans="1:10" ht="15" customHeight="1" x14ac:dyDescent="0.25">
      <c r="A17" s="998" t="s">
        <v>45</v>
      </c>
      <c r="B17" s="211">
        <v>144</v>
      </c>
      <c r="C17" s="212">
        <v>90</v>
      </c>
      <c r="D17" s="213">
        <f t="shared" si="0"/>
        <v>0.625</v>
      </c>
      <c r="E17" s="211">
        <v>0</v>
      </c>
      <c r="F17" s="212">
        <v>0</v>
      </c>
      <c r="G17" s="214" t="s">
        <v>101</v>
      </c>
      <c r="H17" s="317">
        <v>144</v>
      </c>
      <c r="I17" s="212">
        <v>90</v>
      </c>
      <c r="J17" s="213">
        <f t="shared" si="2"/>
        <v>0.625</v>
      </c>
    </row>
    <row r="18" spans="1:10" x14ac:dyDescent="0.25">
      <c r="A18" s="999"/>
      <c r="B18" s="211">
        <v>95</v>
      </c>
      <c r="C18" s="212">
        <v>72</v>
      </c>
      <c r="D18" s="213">
        <f t="shared" si="0"/>
        <v>0.75789473684210529</v>
      </c>
      <c r="E18" s="211">
        <v>0</v>
      </c>
      <c r="F18" s="212">
        <v>0</v>
      </c>
      <c r="G18" s="214" t="s">
        <v>101</v>
      </c>
      <c r="H18" s="317">
        <v>95</v>
      </c>
      <c r="I18" s="212">
        <v>72</v>
      </c>
      <c r="J18" s="213">
        <f t="shared" si="2"/>
        <v>0.75789473684210529</v>
      </c>
    </row>
    <row r="19" spans="1:10" ht="15" customHeight="1" x14ac:dyDescent="0.25">
      <c r="A19" s="998" t="s">
        <v>43</v>
      </c>
      <c r="B19" s="211">
        <v>217</v>
      </c>
      <c r="C19" s="212">
        <v>186</v>
      </c>
      <c r="D19" s="213">
        <f t="shared" si="0"/>
        <v>0.8571428571428571</v>
      </c>
      <c r="E19" s="211">
        <v>0</v>
      </c>
      <c r="F19" s="212">
        <v>0</v>
      </c>
      <c r="G19" s="214" t="s">
        <v>101</v>
      </c>
      <c r="H19" s="317">
        <v>217</v>
      </c>
      <c r="I19" s="212">
        <v>186</v>
      </c>
      <c r="J19" s="213">
        <f t="shared" si="2"/>
        <v>0.8571428571428571</v>
      </c>
    </row>
    <row r="20" spans="1:10" x14ac:dyDescent="0.25">
      <c r="A20" s="999"/>
      <c r="B20" s="211">
        <v>164</v>
      </c>
      <c r="C20" s="212">
        <v>148</v>
      </c>
      <c r="D20" s="213">
        <f t="shared" si="0"/>
        <v>0.90243902439024393</v>
      </c>
      <c r="E20" s="211">
        <v>0</v>
      </c>
      <c r="F20" s="212">
        <v>0</v>
      </c>
      <c r="G20" s="214" t="s">
        <v>101</v>
      </c>
      <c r="H20" s="317">
        <v>164</v>
      </c>
      <c r="I20" s="212">
        <v>148</v>
      </c>
      <c r="J20" s="213">
        <f t="shared" si="2"/>
        <v>0.90243902439024393</v>
      </c>
    </row>
    <row r="21" spans="1:10" x14ac:dyDescent="0.25">
      <c r="A21" s="998" t="s">
        <v>111</v>
      </c>
      <c r="B21" s="211">
        <v>1</v>
      </c>
      <c r="C21" s="212">
        <v>1</v>
      </c>
      <c r="D21" s="213">
        <f>C21/B21</f>
        <v>1</v>
      </c>
      <c r="E21" s="211">
        <v>4</v>
      </c>
      <c r="F21" s="212">
        <v>3</v>
      </c>
      <c r="G21" s="213">
        <f>F21/E21</f>
        <v>0.75</v>
      </c>
      <c r="H21" s="317">
        <v>5</v>
      </c>
      <c r="I21" s="212">
        <v>4</v>
      </c>
      <c r="J21" s="213">
        <f>I21/H21</f>
        <v>0.8</v>
      </c>
    </row>
    <row r="22" spans="1:10" x14ac:dyDescent="0.25">
      <c r="A22" s="999"/>
      <c r="B22" s="211">
        <v>0</v>
      </c>
      <c r="C22" s="212">
        <v>0</v>
      </c>
      <c r="D22" s="214" t="s">
        <v>101</v>
      </c>
      <c r="E22" s="211">
        <v>0</v>
      </c>
      <c r="F22" s="212">
        <v>0</v>
      </c>
      <c r="G22" s="214" t="s">
        <v>101</v>
      </c>
      <c r="H22" s="317">
        <v>0</v>
      </c>
      <c r="I22" s="212">
        <v>0</v>
      </c>
      <c r="J22" s="214" t="s">
        <v>101</v>
      </c>
    </row>
    <row r="23" spans="1:10" x14ac:dyDescent="0.25">
      <c r="A23" s="998" t="s">
        <v>27</v>
      </c>
      <c r="B23" s="211">
        <v>2348</v>
      </c>
      <c r="C23" s="212">
        <v>2280</v>
      </c>
      <c r="D23" s="213">
        <f t="shared" si="0"/>
        <v>0.97103918228279384</v>
      </c>
      <c r="E23" s="211">
        <v>619</v>
      </c>
      <c r="F23" s="212">
        <v>549</v>
      </c>
      <c r="G23" s="213">
        <f t="shared" si="1"/>
        <v>0.88691437802907913</v>
      </c>
      <c r="H23" s="317">
        <v>2967</v>
      </c>
      <c r="I23" s="212">
        <v>2829</v>
      </c>
      <c r="J23" s="213">
        <f t="shared" si="2"/>
        <v>0.95348837209302328</v>
      </c>
    </row>
    <row r="24" spans="1:10" x14ac:dyDescent="0.25">
      <c r="A24" s="999"/>
      <c r="B24" s="211">
        <v>2029</v>
      </c>
      <c r="C24" s="212">
        <v>2010</v>
      </c>
      <c r="D24" s="213">
        <f t="shared" si="0"/>
        <v>0.99063578117299167</v>
      </c>
      <c r="E24" s="211">
        <v>516</v>
      </c>
      <c r="F24" s="212">
        <v>470</v>
      </c>
      <c r="G24" s="213">
        <f t="shared" si="1"/>
        <v>0.91085271317829453</v>
      </c>
      <c r="H24" s="317">
        <v>2545</v>
      </c>
      <c r="I24" s="212">
        <v>2480</v>
      </c>
      <c r="J24" s="213">
        <f t="shared" si="2"/>
        <v>0.97445972495088407</v>
      </c>
    </row>
    <row r="25" spans="1:10" x14ac:dyDescent="0.25">
      <c r="A25" s="998" t="s">
        <v>49</v>
      </c>
      <c r="B25" s="211">
        <v>1646</v>
      </c>
      <c r="C25" s="212">
        <v>1490</v>
      </c>
      <c r="D25" s="213">
        <f t="shared" si="0"/>
        <v>0.90522478736330503</v>
      </c>
      <c r="E25" s="211">
        <v>429</v>
      </c>
      <c r="F25" s="212">
        <v>347</v>
      </c>
      <c r="G25" s="213">
        <f t="shared" si="1"/>
        <v>0.80885780885780889</v>
      </c>
      <c r="H25" s="317">
        <v>2075</v>
      </c>
      <c r="I25" s="212">
        <v>1837</v>
      </c>
      <c r="J25" s="213">
        <f t="shared" si="2"/>
        <v>0.8853012048192771</v>
      </c>
    </row>
    <row r="26" spans="1:10" x14ac:dyDescent="0.25">
      <c r="A26" s="999"/>
      <c r="B26" s="211">
        <v>1318</v>
      </c>
      <c r="C26" s="212">
        <v>1251</v>
      </c>
      <c r="D26" s="213">
        <f t="shared" si="0"/>
        <v>0.9491654021244309</v>
      </c>
      <c r="E26" s="211">
        <v>308</v>
      </c>
      <c r="F26" s="212">
        <v>270</v>
      </c>
      <c r="G26" s="213">
        <f t="shared" si="1"/>
        <v>0.87662337662337664</v>
      </c>
      <c r="H26" s="317">
        <v>1626</v>
      </c>
      <c r="I26" s="212">
        <v>1521</v>
      </c>
      <c r="J26" s="213">
        <f t="shared" si="2"/>
        <v>0.93542435424354242</v>
      </c>
    </row>
    <row r="27" spans="1:10" x14ac:dyDescent="0.25">
      <c r="A27" s="998" t="s">
        <v>33</v>
      </c>
      <c r="B27" s="211">
        <v>1125</v>
      </c>
      <c r="C27" s="212">
        <v>924</v>
      </c>
      <c r="D27" s="213">
        <f t="shared" si="0"/>
        <v>0.82133333333333336</v>
      </c>
      <c r="E27" s="211">
        <v>250</v>
      </c>
      <c r="F27" s="212">
        <v>178</v>
      </c>
      <c r="G27" s="213">
        <f t="shared" si="1"/>
        <v>0.71199999999999997</v>
      </c>
      <c r="H27" s="317">
        <v>1375</v>
      </c>
      <c r="I27" s="212">
        <v>1102</v>
      </c>
      <c r="J27" s="213">
        <f t="shared" si="2"/>
        <v>0.80145454545454542</v>
      </c>
    </row>
    <row r="28" spans="1:10" x14ac:dyDescent="0.25">
      <c r="A28" s="999"/>
      <c r="B28" s="211">
        <v>742</v>
      </c>
      <c r="C28" s="212">
        <v>680</v>
      </c>
      <c r="D28" s="213">
        <f t="shared" si="0"/>
        <v>0.9164420485175202</v>
      </c>
      <c r="E28" s="211">
        <v>134</v>
      </c>
      <c r="F28" s="212">
        <v>126</v>
      </c>
      <c r="G28" s="213">
        <f t="shared" si="1"/>
        <v>0.94029850746268662</v>
      </c>
      <c r="H28" s="317">
        <v>876</v>
      </c>
      <c r="I28" s="212">
        <v>806</v>
      </c>
      <c r="J28" s="213">
        <f t="shared" si="2"/>
        <v>0.92009132420091322</v>
      </c>
    </row>
    <row r="29" spans="1:10" x14ac:dyDescent="0.25">
      <c r="A29" s="998" t="s">
        <v>34</v>
      </c>
      <c r="B29" s="211">
        <v>1105</v>
      </c>
      <c r="C29" s="212">
        <v>852</v>
      </c>
      <c r="D29" s="213">
        <f t="shared" si="0"/>
        <v>0.77104072398190049</v>
      </c>
      <c r="E29" s="211">
        <v>712</v>
      </c>
      <c r="F29" s="212">
        <v>464</v>
      </c>
      <c r="G29" s="213">
        <f t="shared" si="1"/>
        <v>0.651685393258427</v>
      </c>
      <c r="H29" s="317">
        <v>1817</v>
      </c>
      <c r="I29" s="212">
        <v>1316</v>
      </c>
      <c r="J29" s="213">
        <f t="shared" si="2"/>
        <v>0.72427077600440282</v>
      </c>
    </row>
    <row r="30" spans="1:10" x14ac:dyDescent="0.25">
      <c r="A30" s="999"/>
      <c r="B30" s="211">
        <v>745</v>
      </c>
      <c r="C30" s="212">
        <v>696</v>
      </c>
      <c r="D30" s="213">
        <f t="shared" si="0"/>
        <v>0.93422818791946305</v>
      </c>
      <c r="E30" s="211">
        <v>454</v>
      </c>
      <c r="F30" s="212">
        <v>320</v>
      </c>
      <c r="G30" s="213">
        <f t="shared" si="1"/>
        <v>0.70484581497797361</v>
      </c>
      <c r="H30" s="317">
        <v>1199</v>
      </c>
      <c r="I30" s="212">
        <v>1016</v>
      </c>
      <c r="J30" s="213">
        <f t="shared" si="2"/>
        <v>0.84737281067556292</v>
      </c>
    </row>
    <row r="31" spans="1:10" x14ac:dyDescent="0.25">
      <c r="A31" s="998" t="s">
        <v>172</v>
      </c>
      <c r="B31" s="211">
        <v>2031</v>
      </c>
      <c r="C31" s="212">
        <v>1654</v>
      </c>
      <c r="D31" s="213">
        <f t="shared" si="0"/>
        <v>0.8143771541112752</v>
      </c>
      <c r="E31" s="211">
        <v>1374</v>
      </c>
      <c r="F31" s="212">
        <v>921</v>
      </c>
      <c r="G31" s="213">
        <f t="shared" si="1"/>
        <v>0.67030567685589515</v>
      </c>
      <c r="H31" s="317">
        <v>3405</v>
      </c>
      <c r="I31" s="212">
        <v>2575</v>
      </c>
      <c r="J31" s="213">
        <f t="shared" si="2"/>
        <v>0.75624082232011747</v>
      </c>
    </row>
    <row r="32" spans="1:10" x14ac:dyDescent="0.25">
      <c r="A32" s="999"/>
      <c r="B32" s="211">
        <v>1510</v>
      </c>
      <c r="C32" s="212">
        <v>1346</v>
      </c>
      <c r="D32" s="213">
        <f t="shared" si="0"/>
        <v>0.89139072847682121</v>
      </c>
      <c r="E32" s="211">
        <v>879</v>
      </c>
      <c r="F32" s="212">
        <v>629</v>
      </c>
      <c r="G32" s="213">
        <f t="shared" si="1"/>
        <v>0.71558589306029574</v>
      </c>
      <c r="H32" s="317">
        <v>2389</v>
      </c>
      <c r="I32" s="212">
        <v>1975</v>
      </c>
      <c r="J32" s="213">
        <f t="shared" si="2"/>
        <v>0.82670573461699459</v>
      </c>
    </row>
    <row r="33" spans="1:10" x14ac:dyDescent="0.25">
      <c r="A33" s="998" t="s">
        <v>30</v>
      </c>
      <c r="B33" s="211">
        <v>1827</v>
      </c>
      <c r="C33" s="212">
        <v>1332</v>
      </c>
      <c r="D33" s="213">
        <f t="shared" si="0"/>
        <v>0.72906403940886699</v>
      </c>
      <c r="E33" s="211">
        <v>1007</v>
      </c>
      <c r="F33" s="212">
        <v>730</v>
      </c>
      <c r="G33" s="213">
        <f t="shared" si="1"/>
        <v>0.72492552135054622</v>
      </c>
      <c r="H33" s="211">
        <v>2834</v>
      </c>
      <c r="I33" s="212">
        <v>2062</v>
      </c>
      <c r="J33" s="213">
        <f t="shared" si="2"/>
        <v>0.72759350741002116</v>
      </c>
    </row>
    <row r="34" spans="1:10" x14ac:dyDescent="0.25">
      <c r="A34" s="999"/>
      <c r="B34" s="211">
        <v>1232</v>
      </c>
      <c r="C34" s="212">
        <v>1073</v>
      </c>
      <c r="D34" s="213">
        <f t="shared" si="0"/>
        <v>0.87094155844155841</v>
      </c>
      <c r="E34" s="211">
        <v>712</v>
      </c>
      <c r="F34" s="212">
        <v>568</v>
      </c>
      <c r="G34" s="213">
        <f t="shared" si="1"/>
        <v>0.797752808988764</v>
      </c>
      <c r="H34" s="211">
        <v>1944</v>
      </c>
      <c r="I34" s="212">
        <v>1641</v>
      </c>
      <c r="J34" s="213">
        <f t="shared" si="2"/>
        <v>0.84413580246913578</v>
      </c>
    </row>
    <row r="35" spans="1:10" x14ac:dyDescent="0.25">
      <c r="A35" s="998" t="s">
        <v>31</v>
      </c>
      <c r="B35" s="211">
        <v>1447</v>
      </c>
      <c r="C35" s="212">
        <v>1247</v>
      </c>
      <c r="D35" s="213">
        <f t="shared" si="0"/>
        <v>0.861782999308915</v>
      </c>
      <c r="E35" s="211">
        <v>715</v>
      </c>
      <c r="F35" s="212">
        <v>573</v>
      </c>
      <c r="G35" s="213">
        <f t="shared" si="1"/>
        <v>0.80139860139860142</v>
      </c>
      <c r="H35" s="211">
        <v>2162</v>
      </c>
      <c r="I35" s="212">
        <v>1820</v>
      </c>
      <c r="J35" s="213">
        <f t="shared" si="2"/>
        <v>0.84181313598519891</v>
      </c>
    </row>
    <row r="36" spans="1:10" x14ac:dyDescent="0.25">
      <c r="A36" s="999"/>
      <c r="B36" s="211">
        <v>997</v>
      </c>
      <c r="C36" s="212">
        <v>933</v>
      </c>
      <c r="D36" s="213">
        <f t="shared" si="0"/>
        <v>0.93580742226680036</v>
      </c>
      <c r="E36" s="211">
        <v>497</v>
      </c>
      <c r="F36" s="212">
        <v>422</v>
      </c>
      <c r="G36" s="213">
        <f t="shared" si="1"/>
        <v>0.84909456740442657</v>
      </c>
      <c r="H36" s="211">
        <v>1494</v>
      </c>
      <c r="I36" s="212">
        <v>1355</v>
      </c>
      <c r="J36" s="213">
        <f t="shared" si="2"/>
        <v>0.90696117804551535</v>
      </c>
    </row>
    <row r="37" spans="1:10" x14ac:dyDescent="0.25">
      <c r="A37" s="998" t="s">
        <v>173</v>
      </c>
      <c r="B37" s="211">
        <v>109</v>
      </c>
      <c r="C37" s="212">
        <v>93</v>
      </c>
      <c r="D37" s="213">
        <f t="shared" si="0"/>
        <v>0.85321100917431192</v>
      </c>
      <c r="E37" s="211">
        <v>0</v>
      </c>
      <c r="F37" s="212">
        <v>0</v>
      </c>
      <c r="G37" s="214" t="s">
        <v>101</v>
      </c>
      <c r="H37" s="211">
        <v>109</v>
      </c>
      <c r="I37" s="212">
        <v>93</v>
      </c>
      <c r="J37" s="213">
        <f t="shared" si="2"/>
        <v>0.85321100917431192</v>
      </c>
    </row>
    <row r="38" spans="1:10" x14ac:dyDescent="0.25">
      <c r="A38" s="999"/>
      <c r="B38" s="211">
        <v>85</v>
      </c>
      <c r="C38" s="212">
        <v>80</v>
      </c>
      <c r="D38" s="213">
        <f t="shared" si="0"/>
        <v>0.94117647058823528</v>
      </c>
      <c r="E38" s="211">
        <v>0</v>
      </c>
      <c r="F38" s="212">
        <v>0</v>
      </c>
      <c r="G38" s="214" t="s">
        <v>101</v>
      </c>
      <c r="H38" s="211">
        <v>85</v>
      </c>
      <c r="I38" s="212">
        <v>80</v>
      </c>
      <c r="J38" s="213">
        <f t="shared" si="2"/>
        <v>0.94117647058823528</v>
      </c>
    </row>
    <row r="39" spans="1:10" x14ac:dyDescent="0.25">
      <c r="A39" s="998" t="s">
        <v>386</v>
      </c>
      <c r="B39" s="211">
        <v>419</v>
      </c>
      <c r="C39" s="212">
        <v>404</v>
      </c>
      <c r="D39" s="213">
        <f t="shared" si="0"/>
        <v>0.96420047732696901</v>
      </c>
      <c r="E39" s="211">
        <v>501</v>
      </c>
      <c r="F39" s="212">
        <v>343</v>
      </c>
      <c r="G39" s="213">
        <f t="shared" si="1"/>
        <v>0.68463073852295409</v>
      </c>
      <c r="H39" s="211">
        <v>920</v>
      </c>
      <c r="I39" s="212">
        <v>747</v>
      </c>
      <c r="J39" s="213">
        <f t="shared" si="2"/>
        <v>0.81195652173913047</v>
      </c>
    </row>
    <row r="40" spans="1:10" x14ac:dyDescent="0.25">
      <c r="A40" s="999"/>
      <c r="B40" s="211">
        <v>342</v>
      </c>
      <c r="C40" s="212">
        <v>335</v>
      </c>
      <c r="D40" s="213">
        <f t="shared" si="0"/>
        <v>0.97953216374269003</v>
      </c>
      <c r="E40" s="211">
        <v>358</v>
      </c>
      <c r="F40" s="212">
        <v>280</v>
      </c>
      <c r="G40" s="213">
        <f t="shared" si="1"/>
        <v>0.78212290502793291</v>
      </c>
      <c r="H40" s="211">
        <v>700</v>
      </c>
      <c r="I40" s="212">
        <v>615</v>
      </c>
      <c r="J40" s="213">
        <f t="shared" si="2"/>
        <v>0.87857142857142856</v>
      </c>
    </row>
    <row r="41" spans="1:10" x14ac:dyDescent="0.25">
      <c r="A41" s="998" t="s">
        <v>36</v>
      </c>
      <c r="B41" s="211">
        <v>994</v>
      </c>
      <c r="C41" s="212">
        <v>715</v>
      </c>
      <c r="D41" s="213">
        <f t="shared" si="0"/>
        <v>0.71931589537223339</v>
      </c>
      <c r="E41" s="211">
        <v>242</v>
      </c>
      <c r="F41" s="212">
        <v>201</v>
      </c>
      <c r="G41" s="213">
        <f t="shared" si="1"/>
        <v>0.83057851239669422</v>
      </c>
      <c r="H41" s="211">
        <v>1236</v>
      </c>
      <c r="I41" s="212">
        <v>916</v>
      </c>
      <c r="J41" s="213">
        <f t="shared" si="2"/>
        <v>0.74110032362459544</v>
      </c>
    </row>
    <row r="42" spans="1:10" x14ac:dyDescent="0.25">
      <c r="A42" s="999"/>
      <c r="B42" s="211">
        <v>645</v>
      </c>
      <c r="C42" s="212">
        <v>527</v>
      </c>
      <c r="D42" s="213">
        <f t="shared" si="0"/>
        <v>0.8170542635658915</v>
      </c>
      <c r="E42" s="211">
        <v>178</v>
      </c>
      <c r="F42" s="212">
        <v>160</v>
      </c>
      <c r="G42" s="213">
        <f t="shared" si="1"/>
        <v>0.898876404494382</v>
      </c>
      <c r="H42" s="211">
        <v>823</v>
      </c>
      <c r="I42" s="212">
        <v>687</v>
      </c>
      <c r="J42" s="213">
        <f t="shared" si="2"/>
        <v>0.83475091130012147</v>
      </c>
    </row>
    <row r="43" spans="1:10" x14ac:dyDescent="0.25">
      <c r="A43" s="998" t="s">
        <v>35</v>
      </c>
      <c r="B43" s="211">
        <v>713</v>
      </c>
      <c r="C43" s="212">
        <v>590</v>
      </c>
      <c r="D43" s="213">
        <f t="shared" si="0"/>
        <v>0.82748948106591869</v>
      </c>
      <c r="E43" s="211">
        <v>960</v>
      </c>
      <c r="F43" s="212">
        <v>747</v>
      </c>
      <c r="G43" s="213">
        <f t="shared" si="1"/>
        <v>0.77812499999999996</v>
      </c>
      <c r="H43" s="211">
        <v>1673</v>
      </c>
      <c r="I43" s="212">
        <v>1337</v>
      </c>
      <c r="J43" s="213">
        <f t="shared" si="2"/>
        <v>0.79916317991631802</v>
      </c>
    </row>
    <row r="44" spans="1:10" x14ac:dyDescent="0.25">
      <c r="A44" s="999"/>
      <c r="B44" s="211">
        <v>426</v>
      </c>
      <c r="C44" s="212">
        <v>384</v>
      </c>
      <c r="D44" s="213">
        <f t="shared" si="0"/>
        <v>0.90140845070422537</v>
      </c>
      <c r="E44" s="211">
        <v>554</v>
      </c>
      <c r="F44" s="212">
        <v>440</v>
      </c>
      <c r="G44" s="213">
        <f t="shared" si="1"/>
        <v>0.79422382671480141</v>
      </c>
      <c r="H44" s="211">
        <v>980</v>
      </c>
      <c r="I44" s="212">
        <v>824</v>
      </c>
      <c r="J44" s="213">
        <f t="shared" si="2"/>
        <v>0.84081632653061222</v>
      </c>
    </row>
    <row r="45" spans="1:10" x14ac:dyDescent="0.25">
      <c r="A45" s="998" t="s">
        <v>42</v>
      </c>
      <c r="B45" s="211">
        <v>192</v>
      </c>
      <c r="C45" s="212">
        <v>189</v>
      </c>
      <c r="D45" s="213">
        <f t="shared" si="0"/>
        <v>0.984375</v>
      </c>
      <c r="E45" s="211">
        <v>164</v>
      </c>
      <c r="F45" s="212">
        <v>148</v>
      </c>
      <c r="G45" s="213">
        <f t="shared" si="1"/>
        <v>0.90243902439024393</v>
      </c>
      <c r="H45" s="211">
        <v>356</v>
      </c>
      <c r="I45" s="212">
        <v>337</v>
      </c>
      <c r="J45" s="213">
        <f t="shared" si="2"/>
        <v>0.9466292134831461</v>
      </c>
    </row>
    <row r="46" spans="1:10" x14ac:dyDescent="0.25">
      <c r="A46" s="999"/>
      <c r="B46" s="211">
        <v>172</v>
      </c>
      <c r="C46" s="212">
        <v>171</v>
      </c>
      <c r="D46" s="213">
        <f t="shared" si="0"/>
        <v>0.9941860465116279</v>
      </c>
      <c r="E46" s="211">
        <v>148</v>
      </c>
      <c r="F46" s="212">
        <v>133</v>
      </c>
      <c r="G46" s="213">
        <f t="shared" si="1"/>
        <v>0.89864864864864868</v>
      </c>
      <c r="H46" s="211">
        <v>320</v>
      </c>
      <c r="I46" s="212">
        <v>304</v>
      </c>
      <c r="J46" s="213">
        <f t="shared" si="2"/>
        <v>0.95</v>
      </c>
    </row>
    <row r="47" spans="1:10" x14ac:dyDescent="0.25">
      <c r="A47" s="998" t="s">
        <v>50</v>
      </c>
      <c r="B47" s="211">
        <v>68</v>
      </c>
      <c r="C47" s="212">
        <v>62</v>
      </c>
      <c r="D47" s="213">
        <f t="shared" si="0"/>
        <v>0.91176470588235292</v>
      </c>
      <c r="E47" s="211">
        <v>70</v>
      </c>
      <c r="F47" s="212">
        <v>46</v>
      </c>
      <c r="G47" s="213">
        <f t="shared" si="1"/>
        <v>0.65714285714285714</v>
      </c>
      <c r="H47" s="211">
        <v>138</v>
      </c>
      <c r="I47" s="212">
        <v>108</v>
      </c>
      <c r="J47" s="213">
        <f t="shared" si="2"/>
        <v>0.78260869565217395</v>
      </c>
    </row>
    <row r="48" spans="1:10" x14ac:dyDescent="0.25">
      <c r="A48" s="999"/>
      <c r="B48" s="211">
        <v>62</v>
      </c>
      <c r="C48" s="212">
        <v>57</v>
      </c>
      <c r="D48" s="213">
        <f t="shared" si="0"/>
        <v>0.91935483870967738</v>
      </c>
      <c r="E48" s="211">
        <v>56</v>
      </c>
      <c r="F48" s="212">
        <v>38</v>
      </c>
      <c r="G48" s="213">
        <f t="shared" si="1"/>
        <v>0.6785714285714286</v>
      </c>
      <c r="H48" s="211">
        <v>118</v>
      </c>
      <c r="I48" s="212">
        <v>95</v>
      </c>
      <c r="J48" s="213">
        <f t="shared" si="2"/>
        <v>0.80508474576271183</v>
      </c>
    </row>
    <row r="49" spans="1:10" x14ac:dyDescent="0.25">
      <c r="A49" s="998" t="s">
        <v>28</v>
      </c>
      <c r="B49" s="211">
        <v>88</v>
      </c>
      <c r="C49" s="212">
        <v>76</v>
      </c>
      <c r="D49" s="213">
        <f t="shared" si="0"/>
        <v>0.86363636363636365</v>
      </c>
      <c r="E49" s="211">
        <v>3529</v>
      </c>
      <c r="F49" s="212">
        <v>2855</v>
      </c>
      <c r="G49" s="213">
        <f t="shared" si="1"/>
        <v>0.80901105128931705</v>
      </c>
      <c r="H49" s="211">
        <v>3617</v>
      </c>
      <c r="I49" s="212">
        <v>2931</v>
      </c>
      <c r="J49" s="213">
        <f t="shared" si="2"/>
        <v>0.81034006082388721</v>
      </c>
    </row>
    <row r="50" spans="1:10" x14ac:dyDescent="0.25">
      <c r="A50" s="999"/>
      <c r="B50" s="211">
        <v>79</v>
      </c>
      <c r="C50" s="212">
        <v>70</v>
      </c>
      <c r="D50" s="213">
        <f t="shared" si="0"/>
        <v>0.88607594936708856</v>
      </c>
      <c r="E50" s="211">
        <v>3229</v>
      </c>
      <c r="F50" s="212">
        <v>2667</v>
      </c>
      <c r="G50" s="213">
        <f t="shared" si="1"/>
        <v>0.82595230721585633</v>
      </c>
      <c r="H50" s="211">
        <v>3308</v>
      </c>
      <c r="I50" s="212">
        <v>2737</v>
      </c>
      <c r="J50" s="213">
        <f t="shared" si="2"/>
        <v>0.82738814993954046</v>
      </c>
    </row>
    <row r="51" spans="1:10" x14ac:dyDescent="0.25">
      <c r="A51" s="998" t="s">
        <v>37</v>
      </c>
      <c r="B51" s="211">
        <v>89</v>
      </c>
      <c r="C51" s="212">
        <v>69</v>
      </c>
      <c r="D51" s="213">
        <f t="shared" si="0"/>
        <v>0.7752808988764045</v>
      </c>
      <c r="E51" s="211">
        <v>860</v>
      </c>
      <c r="F51" s="212">
        <v>673</v>
      </c>
      <c r="G51" s="213">
        <f t="shared" si="1"/>
        <v>0.78255813953488373</v>
      </c>
      <c r="H51" s="211">
        <v>949</v>
      </c>
      <c r="I51" s="212">
        <v>742</v>
      </c>
      <c r="J51" s="213">
        <f t="shared" si="2"/>
        <v>0.78187565858798735</v>
      </c>
    </row>
    <row r="52" spans="1:10" x14ac:dyDescent="0.25">
      <c r="A52" s="999"/>
      <c r="B52" s="211">
        <v>67</v>
      </c>
      <c r="C52" s="212">
        <v>58</v>
      </c>
      <c r="D52" s="213">
        <f t="shared" si="0"/>
        <v>0.86567164179104472</v>
      </c>
      <c r="E52" s="211">
        <v>666</v>
      </c>
      <c r="F52" s="212">
        <v>535</v>
      </c>
      <c r="G52" s="213">
        <f t="shared" si="1"/>
        <v>0.80330330330330335</v>
      </c>
      <c r="H52" s="211">
        <v>733</v>
      </c>
      <c r="I52" s="212">
        <v>593</v>
      </c>
      <c r="J52" s="213">
        <f t="shared" si="2"/>
        <v>0.80900409276944063</v>
      </c>
    </row>
    <row r="53" spans="1:10" x14ac:dyDescent="0.25">
      <c r="A53" s="998" t="s">
        <v>108</v>
      </c>
      <c r="B53" s="211">
        <v>428</v>
      </c>
      <c r="C53" s="212">
        <v>369</v>
      </c>
      <c r="D53" s="213">
        <f t="shared" si="0"/>
        <v>0.86214953271028039</v>
      </c>
      <c r="E53" s="211">
        <v>672</v>
      </c>
      <c r="F53" s="212">
        <v>447</v>
      </c>
      <c r="G53" s="213">
        <f t="shared" si="1"/>
        <v>0.6651785714285714</v>
      </c>
      <c r="H53" s="211">
        <v>1100</v>
      </c>
      <c r="I53" s="212">
        <v>816</v>
      </c>
      <c r="J53" s="213">
        <f t="shared" si="2"/>
        <v>0.74181818181818182</v>
      </c>
    </row>
    <row r="54" spans="1:10" x14ac:dyDescent="0.25">
      <c r="A54" s="999"/>
      <c r="B54" s="211">
        <v>374</v>
      </c>
      <c r="C54" s="212">
        <v>350</v>
      </c>
      <c r="D54" s="213">
        <f t="shared" si="0"/>
        <v>0.93582887700534756</v>
      </c>
      <c r="E54" s="211">
        <v>536</v>
      </c>
      <c r="F54" s="212">
        <v>392</v>
      </c>
      <c r="G54" s="213">
        <f t="shared" si="1"/>
        <v>0.73134328358208955</v>
      </c>
      <c r="H54" s="211">
        <v>910</v>
      </c>
      <c r="I54" s="212">
        <v>742</v>
      </c>
      <c r="J54" s="213">
        <f t="shared" si="2"/>
        <v>0.81538461538461537</v>
      </c>
    </row>
    <row r="55" spans="1:10" x14ac:dyDescent="0.25">
      <c r="A55" s="998" t="s">
        <v>41</v>
      </c>
      <c r="B55" s="211">
        <v>129</v>
      </c>
      <c r="C55" s="212">
        <v>126</v>
      </c>
      <c r="D55" s="213">
        <f t="shared" si="0"/>
        <v>0.97674418604651159</v>
      </c>
      <c r="E55" s="211">
        <v>421</v>
      </c>
      <c r="F55" s="212">
        <v>319</v>
      </c>
      <c r="G55" s="213">
        <f t="shared" si="1"/>
        <v>0.75771971496437052</v>
      </c>
      <c r="H55" s="211">
        <v>550</v>
      </c>
      <c r="I55" s="212">
        <v>445</v>
      </c>
      <c r="J55" s="213">
        <f t="shared" si="2"/>
        <v>0.80909090909090908</v>
      </c>
    </row>
    <row r="56" spans="1:10" x14ac:dyDescent="0.25">
      <c r="A56" s="999"/>
      <c r="B56" s="211">
        <v>119</v>
      </c>
      <c r="C56" s="212">
        <v>119</v>
      </c>
      <c r="D56" s="213">
        <f t="shared" si="0"/>
        <v>1</v>
      </c>
      <c r="E56" s="211">
        <v>362</v>
      </c>
      <c r="F56" s="212">
        <v>300</v>
      </c>
      <c r="G56" s="213">
        <f t="shared" si="1"/>
        <v>0.82872928176795579</v>
      </c>
      <c r="H56" s="211">
        <v>481</v>
      </c>
      <c r="I56" s="212">
        <v>419</v>
      </c>
      <c r="J56" s="213">
        <f t="shared" si="2"/>
        <v>0.87110187110187109</v>
      </c>
    </row>
    <row r="57" spans="1:10" x14ac:dyDescent="0.25">
      <c r="A57" s="998" t="s">
        <v>547</v>
      </c>
      <c r="B57" s="211">
        <v>21</v>
      </c>
      <c r="C57" s="212">
        <v>16</v>
      </c>
      <c r="D57" s="213">
        <f>C57/B57</f>
        <v>0.76190476190476186</v>
      </c>
      <c r="E57" s="211">
        <v>0</v>
      </c>
      <c r="F57" s="212">
        <v>0</v>
      </c>
      <c r="G57" s="214" t="s">
        <v>101</v>
      </c>
      <c r="H57" s="211">
        <v>21</v>
      </c>
      <c r="I57" s="212">
        <v>16</v>
      </c>
      <c r="J57" s="213">
        <f>I57/H57</f>
        <v>0.76190476190476186</v>
      </c>
    </row>
    <row r="58" spans="1:10" x14ac:dyDescent="0.25">
      <c r="A58" s="999"/>
      <c r="B58" s="211">
        <v>18</v>
      </c>
      <c r="C58" s="212">
        <v>14</v>
      </c>
      <c r="D58" s="213">
        <f>C58/B58</f>
        <v>0.77777777777777779</v>
      </c>
      <c r="E58" s="211">
        <v>0</v>
      </c>
      <c r="F58" s="212">
        <v>0</v>
      </c>
      <c r="G58" s="214" t="s">
        <v>101</v>
      </c>
      <c r="H58" s="211">
        <v>18</v>
      </c>
      <c r="I58" s="212">
        <v>14</v>
      </c>
      <c r="J58" s="213">
        <f>I58/H58</f>
        <v>0.77777777777777779</v>
      </c>
    </row>
    <row r="59" spans="1:10" x14ac:dyDescent="0.25">
      <c r="A59" s="998" t="s">
        <v>51</v>
      </c>
      <c r="B59" s="211">
        <v>58</v>
      </c>
      <c r="C59" s="212">
        <v>54</v>
      </c>
      <c r="D59" s="213">
        <f t="shared" si="0"/>
        <v>0.93103448275862066</v>
      </c>
      <c r="E59" s="211">
        <v>117</v>
      </c>
      <c r="F59" s="212">
        <v>98</v>
      </c>
      <c r="G59" s="213">
        <f t="shared" si="1"/>
        <v>0.83760683760683763</v>
      </c>
      <c r="H59" s="211">
        <v>175</v>
      </c>
      <c r="I59" s="212">
        <v>152</v>
      </c>
      <c r="J59" s="213">
        <f t="shared" si="2"/>
        <v>0.86857142857142855</v>
      </c>
    </row>
    <row r="60" spans="1:10" x14ac:dyDescent="0.25">
      <c r="A60" s="999"/>
      <c r="B60" s="211">
        <v>53</v>
      </c>
      <c r="C60" s="212">
        <v>51</v>
      </c>
      <c r="D60" s="213">
        <f t="shared" si="0"/>
        <v>0.96226415094339623</v>
      </c>
      <c r="E60" s="211">
        <v>92</v>
      </c>
      <c r="F60" s="212">
        <v>83</v>
      </c>
      <c r="G60" s="213">
        <f t="shared" si="1"/>
        <v>0.90217391304347827</v>
      </c>
      <c r="H60" s="211">
        <v>145</v>
      </c>
      <c r="I60" s="212">
        <v>134</v>
      </c>
      <c r="J60" s="213">
        <f t="shared" si="2"/>
        <v>0.92413793103448272</v>
      </c>
    </row>
    <row r="61" spans="1:10" x14ac:dyDescent="0.25">
      <c r="A61" s="998" t="s">
        <v>405</v>
      </c>
      <c r="B61" s="211">
        <v>18</v>
      </c>
      <c r="C61" s="212">
        <v>14</v>
      </c>
      <c r="D61" s="213">
        <f>C61/B61</f>
        <v>0.77777777777777779</v>
      </c>
      <c r="E61" s="211">
        <v>1109</v>
      </c>
      <c r="F61" s="212">
        <v>890</v>
      </c>
      <c r="G61" s="213">
        <f>F61/E61</f>
        <v>0.80252479711451763</v>
      </c>
      <c r="H61" s="211">
        <v>1127</v>
      </c>
      <c r="I61" s="212">
        <v>904</v>
      </c>
      <c r="J61" s="213">
        <f>I61/H61</f>
        <v>0.80212954747116239</v>
      </c>
    </row>
    <row r="62" spans="1:10" x14ac:dyDescent="0.25">
      <c r="A62" s="999"/>
      <c r="B62" s="211">
        <v>16</v>
      </c>
      <c r="C62" s="212">
        <v>13</v>
      </c>
      <c r="D62" s="213">
        <f>C62/B62</f>
        <v>0.8125</v>
      </c>
      <c r="E62" s="211">
        <v>811</v>
      </c>
      <c r="F62" s="212">
        <v>655</v>
      </c>
      <c r="G62" s="213">
        <f>F62/E62</f>
        <v>0.80764488286066582</v>
      </c>
      <c r="H62" s="211">
        <v>827</v>
      </c>
      <c r="I62" s="212">
        <v>668</v>
      </c>
      <c r="J62" s="213">
        <f>I62/H62</f>
        <v>0.80773881499395406</v>
      </c>
    </row>
    <row r="63" spans="1:10" x14ac:dyDescent="0.25">
      <c r="A63" s="998" t="s">
        <v>40</v>
      </c>
      <c r="B63" s="211">
        <v>356</v>
      </c>
      <c r="C63" s="212">
        <v>348</v>
      </c>
      <c r="D63" s="213">
        <f t="shared" si="0"/>
        <v>0.97752808988764039</v>
      </c>
      <c r="E63" s="211">
        <v>446</v>
      </c>
      <c r="F63" s="212">
        <v>374</v>
      </c>
      <c r="G63" s="213">
        <f t="shared" si="1"/>
        <v>0.83856502242152464</v>
      </c>
      <c r="H63" s="211">
        <v>802</v>
      </c>
      <c r="I63" s="212">
        <v>722</v>
      </c>
      <c r="J63" s="213">
        <f t="shared" si="2"/>
        <v>0.90024937655860349</v>
      </c>
    </row>
    <row r="64" spans="1:10" ht="15.75" thickBot="1" x14ac:dyDescent="0.3">
      <c r="A64" s="1009"/>
      <c r="B64" s="215">
        <v>343</v>
      </c>
      <c r="C64" s="216">
        <v>341</v>
      </c>
      <c r="D64" s="217">
        <f t="shared" si="0"/>
        <v>0.99416909620991256</v>
      </c>
      <c r="E64" s="215">
        <v>422</v>
      </c>
      <c r="F64" s="216">
        <v>360</v>
      </c>
      <c r="G64" s="217">
        <f t="shared" si="1"/>
        <v>0.85308056872037918</v>
      </c>
      <c r="H64" s="215">
        <v>765</v>
      </c>
      <c r="I64" s="216">
        <v>701</v>
      </c>
      <c r="J64" s="217">
        <f t="shared" si="2"/>
        <v>0.91633986928104572</v>
      </c>
    </row>
    <row r="65" spans="1:10" x14ac:dyDescent="0.25">
      <c r="A65" s="218"/>
      <c r="B65" s="342"/>
      <c r="C65" s="342"/>
      <c r="D65" s="342"/>
      <c r="E65" s="342"/>
      <c r="F65" s="342"/>
      <c r="G65" s="342"/>
      <c r="H65" s="342"/>
      <c r="I65" s="342"/>
      <c r="J65" s="189" t="s">
        <v>404</v>
      </c>
    </row>
    <row r="66" spans="1:10" x14ac:dyDescent="0.25">
      <c r="A66" s="218"/>
      <c r="B66" s="218"/>
      <c r="C66" s="218"/>
      <c r="D66" s="218"/>
      <c r="E66" s="218"/>
      <c r="F66" s="218"/>
      <c r="G66" s="218"/>
      <c r="H66" s="218"/>
      <c r="I66" s="218"/>
    </row>
  </sheetData>
  <mergeCells count="43">
    <mergeCell ref="A63:A64"/>
    <mergeCell ref="A57:A58"/>
    <mergeCell ref="A59:A60"/>
    <mergeCell ref="A61:A62"/>
    <mergeCell ref="A45:A46"/>
    <mergeCell ref="A47:A48"/>
    <mergeCell ref="A49:A50"/>
    <mergeCell ref="A51:A52"/>
    <mergeCell ref="A53:A54"/>
    <mergeCell ref="A55:A56"/>
    <mergeCell ref="A33:A34"/>
    <mergeCell ref="A35:A36"/>
    <mergeCell ref="A37:A38"/>
    <mergeCell ref="A39:A40"/>
    <mergeCell ref="A41:A42"/>
    <mergeCell ref="A43:A44"/>
    <mergeCell ref="A31:A32"/>
    <mergeCell ref="A11:A12"/>
    <mergeCell ref="A13:A14"/>
    <mergeCell ref="A15:A16"/>
    <mergeCell ref="A17:A18"/>
    <mergeCell ref="A19:A20"/>
    <mergeCell ref="A21:A22"/>
    <mergeCell ref="A23:A24"/>
    <mergeCell ref="A25:A26"/>
    <mergeCell ref="H4:J4"/>
    <mergeCell ref="E4:G4"/>
    <mergeCell ref="B4:D4"/>
    <mergeCell ref="B3:D3"/>
    <mergeCell ref="A27:A28"/>
    <mergeCell ref="A3:A6"/>
    <mergeCell ref="A7:A8"/>
    <mergeCell ref="A9:A10"/>
    <mergeCell ref="A1:J1"/>
    <mergeCell ref="H2:J2"/>
    <mergeCell ref="E2:G2"/>
    <mergeCell ref="B2:D2"/>
    <mergeCell ref="A29:A30"/>
    <mergeCell ref="B5:B6"/>
    <mergeCell ref="E5:E6"/>
    <mergeCell ref="H5:H6"/>
    <mergeCell ref="E3:G3"/>
    <mergeCell ref="H3:J3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fitToHeight="2" orientation="portrait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S27"/>
  <sheetViews>
    <sheetView zoomScale="90" zoomScaleNormal="90" workbookViewId="0">
      <selection sqref="A1:S1"/>
    </sheetView>
  </sheetViews>
  <sheetFormatPr defaultRowHeight="15" x14ac:dyDescent="0.25"/>
  <cols>
    <col min="1" max="1" width="16.28515625" style="48" customWidth="1"/>
    <col min="2" max="2" width="8.7109375" style="49" customWidth="1"/>
    <col min="3" max="3" width="10" style="50" customWidth="1"/>
    <col min="4" max="4" width="9.28515625" style="51" customWidth="1"/>
    <col min="5" max="5" width="10.42578125" style="50" customWidth="1"/>
    <col min="6" max="6" width="8.42578125" style="51" customWidth="1"/>
    <col min="7" max="7" width="9.85546875" style="50" customWidth="1"/>
    <col min="8" max="8" width="9.5703125" style="51" customWidth="1"/>
    <col min="9" max="9" width="10.7109375" style="50" customWidth="1"/>
    <col min="10" max="10" width="8" style="51" customWidth="1"/>
    <col min="11" max="11" width="9.140625" style="50" customWidth="1"/>
    <col min="12" max="12" width="6.5703125" style="51" customWidth="1"/>
    <col min="13" max="13" width="8.7109375" style="50" customWidth="1"/>
    <col min="14" max="14" width="9.140625" style="51" customWidth="1"/>
    <col min="15" max="15" width="9" style="50" customWidth="1"/>
    <col min="16" max="16" width="8.7109375" style="51" customWidth="1"/>
    <col min="17" max="17" width="7.7109375" style="50" customWidth="1"/>
    <col min="18" max="18" width="8.85546875" style="51" customWidth="1"/>
    <col min="19" max="19" width="8.42578125" style="50" customWidth="1"/>
    <col min="20" max="16384" width="9.140625" style="42"/>
  </cols>
  <sheetData>
    <row r="1" spans="1:19" ht="43.5" customHeight="1" thickBot="1" x14ac:dyDescent="0.3">
      <c r="A1" s="1021" t="s">
        <v>406</v>
      </c>
      <c r="B1" s="1021"/>
      <c r="C1" s="1021"/>
      <c r="D1" s="1021"/>
      <c r="E1" s="1021"/>
      <c r="F1" s="1021"/>
      <c r="G1" s="1021"/>
      <c r="H1" s="1021"/>
      <c r="I1" s="1021"/>
      <c r="J1" s="1021"/>
      <c r="K1" s="1021"/>
      <c r="L1" s="1021"/>
      <c r="M1" s="1021"/>
      <c r="N1" s="1021"/>
      <c r="O1" s="1021"/>
      <c r="P1" s="1021"/>
      <c r="Q1" s="1021"/>
      <c r="R1" s="1021"/>
      <c r="S1" s="1021"/>
    </row>
    <row r="2" spans="1:19" s="43" customFormat="1" ht="18.75" customHeight="1" x14ac:dyDescent="0.25">
      <c r="A2" s="1016" t="s">
        <v>47</v>
      </c>
      <c r="B2" s="1012" t="s">
        <v>112</v>
      </c>
      <c r="C2" s="1014" t="s">
        <v>113</v>
      </c>
      <c r="D2" s="1018" t="s">
        <v>114</v>
      </c>
      <c r="E2" s="1019"/>
      <c r="F2" s="1019"/>
      <c r="G2" s="1019"/>
      <c r="H2" s="1019"/>
      <c r="I2" s="1019"/>
      <c r="J2" s="1019"/>
      <c r="K2" s="1019"/>
      <c r="L2" s="1019"/>
      <c r="M2" s="1020"/>
      <c r="N2" s="1022" t="s">
        <v>115</v>
      </c>
      <c r="O2" s="1024" t="s">
        <v>116</v>
      </c>
      <c r="P2" s="1026" t="s">
        <v>117</v>
      </c>
      <c r="Q2" s="1024" t="s">
        <v>118</v>
      </c>
      <c r="R2" s="1026" t="s">
        <v>119</v>
      </c>
      <c r="S2" s="1010" t="s">
        <v>120</v>
      </c>
    </row>
    <row r="3" spans="1:19" s="43" customFormat="1" ht="63" customHeight="1" thickBot="1" x14ac:dyDescent="0.3">
      <c r="A3" s="1017"/>
      <c r="B3" s="1013"/>
      <c r="C3" s="1015"/>
      <c r="D3" s="843" t="s">
        <v>121</v>
      </c>
      <c r="E3" s="835" t="s">
        <v>122</v>
      </c>
      <c r="F3" s="833" t="s">
        <v>132</v>
      </c>
      <c r="G3" s="835" t="s">
        <v>123</v>
      </c>
      <c r="H3" s="833" t="s">
        <v>124</v>
      </c>
      <c r="I3" s="835" t="s">
        <v>125</v>
      </c>
      <c r="J3" s="833" t="s">
        <v>126</v>
      </c>
      <c r="K3" s="835" t="s">
        <v>127</v>
      </c>
      <c r="L3" s="833" t="s">
        <v>128</v>
      </c>
      <c r="M3" s="834" t="s">
        <v>129</v>
      </c>
      <c r="N3" s="1023"/>
      <c r="O3" s="1025"/>
      <c r="P3" s="1027"/>
      <c r="Q3" s="1025"/>
      <c r="R3" s="1027"/>
      <c r="S3" s="1011"/>
    </row>
    <row r="4" spans="1:19" s="43" customFormat="1" ht="15.75" thickBot="1" x14ac:dyDescent="0.3">
      <c r="A4" s="299" t="s">
        <v>383</v>
      </c>
      <c r="B4" s="297" t="s">
        <v>384</v>
      </c>
      <c r="C4" s="841" t="s">
        <v>385</v>
      </c>
      <c r="D4" s="844" t="s">
        <v>384</v>
      </c>
      <c r="E4" s="845" t="s">
        <v>385</v>
      </c>
      <c r="F4" s="846" t="s">
        <v>384</v>
      </c>
      <c r="G4" s="845" t="s">
        <v>385</v>
      </c>
      <c r="H4" s="846" t="s">
        <v>384</v>
      </c>
      <c r="I4" s="845" t="s">
        <v>385</v>
      </c>
      <c r="J4" s="846" t="s">
        <v>384</v>
      </c>
      <c r="K4" s="845" t="s">
        <v>385</v>
      </c>
      <c r="L4" s="846" t="s">
        <v>384</v>
      </c>
      <c r="M4" s="847" t="s">
        <v>385</v>
      </c>
      <c r="N4" s="842" t="s">
        <v>384</v>
      </c>
      <c r="O4" s="298" t="s">
        <v>385</v>
      </c>
      <c r="P4" s="297" t="s">
        <v>384</v>
      </c>
      <c r="Q4" s="298" t="s">
        <v>385</v>
      </c>
      <c r="R4" s="297" t="s">
        <v>384</v>
      </c>
      <c r="S4" s="300" t="s">
        <v>385</v>
      </c>
    </row>
    <row r="5" spans="1:19" ht="20.100000000000001" customHeight="1" x14ac:dyDescent="0.25">
      <c r="A5" s="467" t="s">
        <v>25</v>
      </c>
      <c r="B5" s="561">
        <v>1944.7</v>
      </c>
      <c r="C5" s="567">
        <v>1211.9000000000001</v>
      </c>
      <c r="D5" s="570">
        <v>285.8</v>
      </c>
      <c r="E5" s="319">
        <v>1805.4</v>
      </c>
      <c r="F5" s="320">
        <v>420.8</v>
      </c>
      <c r="G5" s="319">
        <v>1406.1</v>
      </c>
      <c r="H5" s="320">
        <v>1101.7</v>
      </c>
      <c r="I5" s="319">
        <v>1033.7</v>
      </c>
      <c r="J5" s="320">
        <v>79.599999999999994</v>
      </c>
      <c r="K5" s="319">
        <v>759.15</v>
      </c>
      <c r="L5" s="320">
        <v>56.8</v>
      </c>
      <c r="M5" s="321">
        <v>879.82</v>
      </c>
      <c r="N5" s="564">
        <v>435.2</v>
      </c>
      <c r="O5" s="319">
        <v>972.96</v>
      </c>
      <c r="P5" s="320">
        <v>2017.4</v>
      </c>
      <c r="Q5" s="319">
        <v>743.31</v>
      </c>
      <c r="R5" s="320">
        <f t="shared" ref="R5:R24" si="0">B5+N5+P5</f>
        <v>4397.3</v>
      </c>
      <c r="S5" s="321">
        <v>973.28</v>
      </c>
    </row>
    <row r="6" spans="1:19" ht="20.100000000000001" customHeight="1" x14ac:dyDescent="0.25">
      <c r="A6" s="468" t="s">
        <v>33</v>
      </c>
      <c r="B6" s="562">
        <v>606.79999999999995</v>
      </c>
      <c r="C6" s="568">
        <v>1167</v>
      </c>
      <c r="D6" s="571">
        <v>103.6</v>
      </c>
      <c r="E6" s="322">
        <v>1766.6</v>
      </c>
      <c r="F6" s="323">
        <v>117.1</v>
      </c>
      <c r="G6" s="322">
        <v>1354.2</v>
      </c>
      <c r="H6" s="323">
        <v>323.89999999999998</v>
      </c>
      <c r="I6" s="322">
        <v>985.52</v>
      </c>
      <c r="J6" s="323">
        <v>44.9</v>
      </c>
      <c r="K6" s="322">
        <v>759.18</v>
      </c>
      <c r="L6" s="323">
        <v>17.3</v>
      </c>
      <c r="M6" s="324">
        <v>765.44</v>
      </c>
      <c r="N6" s="565">
        <v>100.3</v>
      </c>
      <c r="O6" s="322">
        <v>1007.2</v>
      </c>
      <c r="P6" s="323">
        <v>618.5</v>
      </c>
      <c r="Q6" s="322">
        <v>605.62</v>
      </c>
      <c r="R6" s="323">
        <f t="shared" si="0"/>
        <v>1325.6</v>
      </c>
      <c r="S6" s="324">
        <v>892.98</v>
      </c>
    </row>
    <row r="7" spans="1:19" ht="20.100000000000001" customHeight="1" x14ac:dyDescent="0.25">
      <c r="A7" s="468" t="s">
        <v>31</v>
      </c>
      <c r="B7" s="562">
        <v>540.29999999999995</v>
      </c>
      <c r="C7" s="568">
        <v>1069.9000000000001</v>
      </c>
      <c r="D7" s="571">
        <v>47.2</v>
      </c>
      <c r="E7" s="322">
        <v>1816</v>
      </c>
      <c r="F7" s="323">
        <v>115.6</v>
      </c>
      <c r="G7" s="322">
        <v>1295.3</v>
      </c>
      <c r="H7" s="323">
        <v>337</v>
      </c>
      <c r="I7" s="322">
        <v>923.02</v>
      </c>
      <c r="J7" s="323">
        <v>27.8</v>
      </c>
      <c r="K7" s="322">
        <v>750.99</v>
      </c>
      <c r="L7" s="323">
        <v>12.7</v>
      </c>
      <c r="M7" s="324">
        <v>842.74</v>
      </c>
      <c r="N7" s="565">
        <v>22.6</v>
      </c>
      <c r="O7" s="322">
        <v>938.62</v>
      </c>
      <c r="P7" s="323">
        <v>465</v>
      </c>
      <c r="Q7" s="322">
        <v>582.29999999999995</v>
      </c>
      <c r="R7" s="323">
        <f t="shared" si="0"/>
        <v>1027.9000000000001</v>
      </c>
      <c r="S7" s="324">
        <v>846.46</v>
      </c>
    </row>
    <row r="8" spans="1:19" ht="20.100000000000001" customHeight="1" x14ac:dyDescent="0.25">
      <c r="A8" s="468" t="s">
        <v>36</v>
      </c>
      <c r="B8" s="562">
        <v>280.7</v>
      </c>
      <c r="C8" s="568">
        <v>1057.0999999999999</v>
      </c>
      <c r="D8" s="571">
        <v>43.8</v>
      </c>
      <c r="E8" s="322">
        <v>1414.6</v>
      </c>
      <c r="F8" s="323">
        <v>36.299999999999997</v>
      </c>
      <c r="G8" s="322">
        <v>1112.2</v>
      </c>
      <c r="H8" s="323">
        <v>197.6</v>
      </c>
      <c r="I8" s="322">
        <v>971.52</v>
      </c>
      <c r="J8" s="323">
        <v>2</v>
      </c>
      <c r="K8" s="322">
        <v>754.92</v>
      </c>
      <c r="L8" s="323">
        <v>1</v>
      </c>
      <c r="M8" s="324">
        <v>898.42</v>
      </c>
      <c r="N8" s="565">
        <v>9.6</v>
      </c>
      <c r="O8" s="322">
        <v>919.08</v>
      </c>
      <c r="P8" s="323">
        <v>146.80000000000001</v>
      </c>
      <c r="Q8" s="322">
        <v>751.68</v>
      </c>
      <c r="R8" s="323">
        <f t="shared" si="0"/>
        <v>437.1</v>
      </c>
      <c r="S8" s="324">
        <v>951.46</v>
      </c>
    </row>
    <row r="9" spans="1:19" ht="20.100000000000001" customHeight="1" x14ac:dyDescent="0.25">
      <c r="A9" s="468" t="s">
        <v>111</v>
      </c>
      <c r="B9" s="562">
        <v>176.2</v>
      </c>
      <c r="C9" s="568">
        <v>1148.3</v>
      </c>
      <c r="D9" s="571">
        <v>21.2</v>
      </c>
      <c r="E9" s="322">
        <v>1915.7</v>
      </c>
      <c r="F9" s="323">
        <v>38.4</v>
      </c>
      <c r="G9" s="322">
        <v>1278.5</v>
      </c>
      <c r="H9" s="323">
        <v>111.4</v>
      </c>
      <c r="I9" s="322">
        <v>980.96</v>
      </c>
      <c r="J9" s="323">
        <v>5.2</v>
      </c>
      <c r="K9" s="322">
        <v>641.94000000000005</v>
      </c>
      <c r="L9" s="323">
        <v>0</v>
      </c>
      <c r="M9" s="572" t="s">
        <v>388</v>
      </c>
      <c r="N9" s="565">
        <v>24.8</v>
      </c>
      <c r="O9" s="322">
        <v>902.18</v>
      </c>
      <c r="P9" s="323">
        <v>301.10000000000002</v>
      </c>
      <c r="Q9" s="322">
        <v>552.63</v>
      </c>
      <c r="R9" s="323">
        <f t="shared" si="0"/>
        <v>502.1</v>
      </c>
      <c r="S9" s="324">
        <v>778.92</v>
      </c>
    </row>
    <row r="10" spans="1:19" ht="20.100000000000001" customHeight="1" x14ac:dyDescent="0.25">
      <c r="A10" s="468" t="s">
        <v>30</v>
      </c>
      <c r="B10" s="562">
        <v>533.5</v>
      </c>
      <c r="C10" s="568">
        <v>1154.0999999999999</v>
      </c>
      <c r="D10" s="571">
        <v>80</v>
      </c>
      <c r="E10" s="322">
        <v>1532.6</v>
      </c>
      <c r="F10" s="323">
        <v>105.5</v>
      </c>
      <c r="G10" s="322">
        <v>1353.3</v>
      </c>
      <c r="H10" s="323">
        <v>317</v>
      </c>
      <c r="I10" s="322">
        <v>1021.5</v>
      </c>
      <c r="J10" s="323">
        <v>5</v>
      </c>
      <c r="K10" s="322">
        <v>733.02</v>
      </c>
      <c r="L10" s="323">
        <v>26</v>
      </c>
      <c r="M10" s="324">
        <v>879.28</v>
      </c>
      <c r="N10" s="565">
        <v>33</v>
      </c>
      <c r="O10" s="322">
        <v>892.7</v>
      </c>
      <c r="P10" s="323">
        <v>396</v>
      </c>
      <c r="Q10" s="322">
        <v>769.25</v>
      </c>
      <c r="R10" s="323">
        <f t="shared" si="0"/>
        <v>962.5</v>
      </c>
      <c r="S10" s="324">
        <v>986.8</v>
      </c>
    </row>
    <row r="11" spans="1:19" ht="35.25" customHeight="1" x14ac:dyDescent="0.25">
      <c r="A11" s="468" t="s">
        <v>172</v>
      </c>
      <c r="B11" s="562">
        <v>605.20000000000005</v>
      </c>
      <c r="C11" s="568">
        <v>1074.5999999999999</v>
      </c>
      <c r="D11" s="571">
        <v>83.5</v>
      </c>
      <c r="E11" s="322">
        <v>1482.8</v>
      </c>
      <c r="F11" s="323">
        <v>115.8</v>
      </c>
      <c r="G11" s="322">
        <v>1244.0999999999999</v>
      </c>
      <c r="H11" s="323">
        <v>378.1</v>
      </c>
      <c r="I11" s="322">
        <v>956.76</v>
      </c>
      <c r="J11" s="323">
        <v>20.6</v>
      </c>
      <c r="K11" s="322">
        <v>752.02</v>
      </c>
      <c r="L11" s="323">
        <v>7.2</v>
      </c>
      <c r="M11" s="324">
        <v>726.66</v>
      </c>
      <c r="N11" s="565">
        <v>25.6</v>
      </c>
      <c r="O11" s="322">
        <v>973.14</v>
      </c>
      <c r="P11" s="323">
        <v>525.5</v>
      </c>
      <c r="Q11" s="322">
        <v>547.58000000000004</v>
      </c>
      <c r="R11" s="323">
        <f t="shared" si="0"/>
        <v>1156.3000000000002</v>
      </c>
      <c r="S11" s="324">
        <v>832.85</v>
      </c>
    </row>
    <row r="12" spans="1:19" ht="20.100000000000001" customHeight="1" x14ac:dyDescent="0.25">
      <c r="A12" s="468" t="s">
        <v>34</v>
      </c>
      <c r="B12" s="562">
        <v>312.3</v>
      </c>
      <c r="C12" s="568">
        <v>1113.8</v>
      </c>
      <c r="D12" s="571">
        <v>48.3</v>
      </c>
      <c r="E12" s="322">
        <v>1555</v>
      </c>
      <c r="F12" s="323">
        <v>63.5</v>
      </c>
      <c r="G12" s="322">
        <v>1308.4000000000001</v>
      </c>
      <c r="H12" s="323">
        <v>194.8</v>
      </c>
      <c r="I12" s="322">
        <v>950.75</v>
      </c>
      <c r="J12" s="323">
        <v>5.7</v>
      </c>
      <c r="K12" s="322">
        <v>779.23</v>
      </c>
      <c r="L12" s="323">
        <v>0</v>
      </c>
      <c r="M12" s="572" t="s">
        <v>388</v>
      </c>
      <c r="N12" s="565">
        <v>13.1</v>
      </c>
      <c r="O12" s="322">
        <v>886.88</v>
      </c>
      <c r="P12" s="323">
        <v>217.2</v>
      </c>
      <c r="Q12" s="322">
        <v>702.1</v>
      </c>
      <c r="R12" s="323">
        <f t="shared" si="0"/>
        <v>542.6</v>
      </c>
      <c r="S12" s="324">
        <v>943.52</v>
      </c>
    </row>
    <row r="13" spans="1:19" ht="20.100000000000001" customHeight="1" x14ac:dyDescent="0.25">
      <c r="A13" s="468" t="s">
        <v>26</v>
      </c>
      <c r="B13" s="562">
        <v>1115.2</v>
      </c>
      <c r="C13" s="568">
        <v>1335.2</v>
      </c>
      <c r="D13" s="571">
        <v>166.9</v>
      </c>
      <c r="E13" s="322">
        <v>2062</v>
      </c>
      <c r="F13" s="323">
        <v>332.2</v>
      </c>
      <c r="G13" s="322">
        <v>1497.5</v>
      </c>
      <c r="H13" s="323">
        <v>598.20000000000005</v>
      </c>
      <c r="I13" s="322">
        <v>1058</v>
      </c>
      <c r="J13" s="323">
        <v>11.6</v>
      </c>
      <c r="K13" s="322">
        <v>788.18</v>
      </c>
      <c r="L13" s="323">
        <v>6.3</v>
      </c>
      <c r="M13" s="324">
        <v>847.55</v>
      </c>
      <c r="N13" s="565">
        <v>342.1</v>
      </c>
      <c r="O13" s="322">
        <v>998.92</v>
      </c>
      <c r="P13" s="323">
        <v>1366.8</v>
      </c>
      <c r="Q13" s="322">
        <v>727.6</v>
      </c>
      <c r="R13" s="323">
        <f t="shared" si="0"/>
        <v>2824.1000000000004</v>
      </c>
      <c r="S13" s="324">
        <v>1000.4</v>
      </c>
    </row>
    <row r="14" spans="1:19" ht="20.100000000000001" customHeight="1" x14ac:dyDescent="0.25">
      <c r="A14" s="468" t="s">
        <v>27</v>
      </c>
      <c r="B14" s="562">
        <v>834.3</v>
      </c>
      <c r="C14" s="568">
        <v>1299.5999999999999</v>
      </c>
      <c r="D14" s="571">
        <v>127.4</v>
      </c>
      <c r="E14" s="322">
        <v>2089.5</v>
      </c>
      <c r="F14" s="323">
        <v>197.7</v>
      </c>
      <c r="G14" s="322">
        <v>1428.9</v>
      </c>
      <c r="H14" s="323">
        <v>498.9</v>
      </c>
      <c r="I14" s="322">
        <v>1057.5999999999999</v>
      </c>
      <c r="J14" s="323">
        <v>1.3</v>
      </c>
      <c r="K14" s="322">
        <v>666.28</v>
      </c>
      <c r="L14" s="323">
        <v>9</v>
      </c>
      <c r="M14" s="324">
        <v>779.34</v>
      </c>
      <c r="N14" s="565">
        <v>135.6</v>
      </c>
      <c r="O14" s="322">
        <v>867.28</v>
      </c>
      <c r="P14" s="323">
        <v>885.1</v>
      </c>
      <c r="Q14" s="322">
        <v>639.1</v>
      </c>
      <c r="R14" s="323">
        <f t="shared" si="0"/>
        <v>1855</v>
      </c>
      <c r="S14" s="324">
        <v>952.82</v>
      </c>
    </row>
    <row r="15" spans="1:19" ht="20.100000000000001" customHeight="1" x14ac:dyDescent="0.25">
      <c r="A15" s="468" t="s">
        <v>49</v>
      </c>
      <c r="B15" s="562">
        <v>648.4</v>
      </c>
      <c r="C15" s="568">
        <v>1091.5</v>
      </c>
      <c r="D15" s="571">
        <v>95.5</v>
      </c>
      <c r="E15" s="322">
        <v>1688.6</v>
      </c>
      <c r="F15" s="323">
        <v>135</v>
      </c>
      <c r="G15" s="322">
        <v>1230.5</v>
      </c>
      <c r="H15" s="323">
        <v>408.4</v>
      </c>
      <c r="I15" s="322">
        <v>913.3</v>
      </c>
      <c r="J15" s="323">
        <v>2.8</v>
      </c>
      <c r="K15" s="322">
        <v>675.6</v>
      </c>
      <c r="L15" s="323">
        <v>6.7</v>
      </c>
      <c r="M15" s="324">
        <v>820.01</v>
      </c>
      <c r="N15" s="565">
        <v>161.1</v>
      </c>
      <c r="O15" s="322">
        <v>785.12</v>
      </c>
      <c r="P15" s="323">
        <v>685.2</v>
      </c>
      <c r="Q15" s="322">
        <v>584.99</v>
      </c>
      <c r="R15" s="323">
        <f t="shared" si="0"/>
        <v>1494.7</v>
      </c>
      <c r="S15" s="324">
        <v>826.3</v>
      </c>
    </row>
    <row r="16" spans="1:19" ht="20.100000000000001" customHeight="1" x14ac:dyDescent="0.25">
      <c r="A16" s="468" t="s">
        <v>386</v>
      </c>
      <c r="B16" s="562">
        <v>185.8</v>
      </c>
      <c r="C16" s="568">
        <v>1169.4000000000001</v>
      </c>
      <c r="D16" s="571">
        <v>20.399999999999999</v>
      </c>
      <c r="E16" s="322">
        <v>1592.2</v>
      </c>
      <c r="F16" s="323">
        <v>31</v>
      </c>
      <c r="G16" s="322">
        <v>1552.4</v>
      </c>
      <c r="H16" s="323">
        <v>130.19999999999999</v>
      </c>
      <c r="I16" s="322">
        <v>1017.9</v>
      </c>
      <c r="J16" s="323">
        <v>4.2</v>
      </c>
      <c r="K16" s="322">
        <v>983.21</v>
      </c>
      <c r="L16" s="323">
        <v>0</v>
      </c>
      <c r="M16" s="572" t="s">
        <v>388</v>
      </c>
      <c r="N16" s="565">
        <v>9.1999999999999993</v>
      </c>
      <c r="O16" s="322">
        <v>997.84</v>
      </c>
      <c r="P16" s="323">
        <v>175.1</v>
      </c>
      <c r="Q16" s="322">
        <v>694.52</v>
      </c>
      <c r="R16" s="323">
        <f t="shared" si="0"/>
        <v>370.1</v>
      </c>
      <c r="S16" s="324">
        <v>940.44</v>
      </c>
    </row>
    <row r="17" spans="1:19" ht="20.100000000000001" customHeight="1" x14ac:dyDescent="0.25">
      <c r="A17" s="468" t="s">
        <v>29</v>
      </c>
      <c r="B17" s="562">
        <v>624.5</v>
      </c>
      <c r="C17" s="568">
        <v>1039</v>
      </c>
      <c r="D17" s="571">
        <v>70</v>
      </c>
      <c r="E17" s="322">
        <v>1447.5</v>
      </c>
      <c r="F17" s="323">
        <v>98</v>
      </c>
      <c r="G17" s="322">
        <v>1232.2</v>
      </c>
      <c r="H17" s="323">
        <v>449</v>
      </c>
      <c r="I17" s="322">
        <v>938.46</v>
      </c>
      <c r="J17" s="323">
        <v>5</v>
      </c>
      <c r="K17" s="322">
        <v>703.38</v>
      </c>
      <c r="L17" s="323">
        <v>2.5</v>
      </c>
      <c r="M17" s="324">
        <v>766.33</v>
      </c>
      <c r="N17" s="565">
        <v>30.5</v>
      </c>
      <c r="O17" s="322">
        <v>886.59</v>
      </c>
      <c r="P17" s="323">
        <v>606.5</v>
      </c>
      <c r="Q17" s="322">
        <v>616.03</v>
      </c>
      <c r="R17" s="323">
        <f t="shared" si="0"/>
        <v>1261.5</v>
      </c>
      <c r="S17" s="324">
        <v>831.98</v>
      </c>
    </row>
    <row r="18" spans="1:19" ht="20.100000000000001" customHeight="1" x14ac:dyDescent="0.25">
      <c r="A18" s="468" t="s">
        <v>32</v>
      </c>
      <c r="B18" s="562">
        <v>456.7</v>
      </c>
      <c r="C18" s="568">
        <v>1010.4</v>
      </c>
      <c r="D18" s="571">
        <v>59</v>
      </c>
      <c r="E18" s="322">
        <v>1334.8</v>
      </c>
      <c r="F18" s="323">
        <v>106.3</v>
      </c>
      <c r="G18" s="322">
        <v>1142.5999999999999</v>
      </c>
      <c r="H18" s="323">
        <v>290.60000000000002</v>
      </c>
      <c r="I18" s="322">
        <v>896.89</v>
      </c>
      <c r="J18" s="323">
        <v>0.8</v>
      </c>
      <c r="K18" s="322">
        <v>751.04</v>
      </c>
      <c r="L18" s="323">
        <v>0</v>
      </c>
      <c r="M18" s="572" t="s">
        <v>388</v>
      </c>
      <c r="N18" s="565">
        <v>93.6</v>
      </c>
      <c r="O18" s="322">
        <v>576.84</v>
      </c>
      <c r="P18" s="323">
        <v>629.6</v>
      </c>
      <c r="Q18" s="322">
        <v>564.14</v>
      </c>
      <c r="R18" s="323">
        <f t="shared" si="0"/>
        <v>1179.9000000000001</v>
      </c>
      <c r="S18" s="324">
        <v>737.88</v>
      </c>
    </row>
    <row r="19" spans="1:19" ht="20.100000000000001" customHeight="1" x14ac:dyDescent="0.25">
      <c r="A19" s="468" t="s">
        <v>38</v>
      </c>
      <c r="B19" s="562">
        <v>261.89999999999998</v>
      </c>
      <c r="C19" s="568">
        <v>1095.9000000000001</v>
      </c>
      <c r="D19" s="571">
        <v>36</v>
      </c>
      <c r="E19" s="322">
        <v>1614.4</v>
      </c>
      <c r="F19" s="323">
        <v>66.3</v>
      </c>
      <c r="G19" s="322">
        <v>1311.5</v>
      </c>
      <c r="H19" s="323">
        <v>159.4</v>
      </c>
      <c r="I19" s="322">
        <v>889.61</v>
      </c>
      <c r="J19" s="323">
        <v>0.2</v>
      </c>
      <c r="K19" s="322">
        <v>725</v>
      </c>
      <c r="L19" s="323">
        <v>0</v>
      </c>
      <c r="M19" s="572" t="s">
        <v>388</v>
      </c>
      <c r="N19" s="565">
        <v>63.5</v>
      </c>
      <c r="O19" s="322">
        <v>722.33</v>
      </c>
      <c r="P19" s="323">
        <v>440.1</v>
      </c>
      <c r="Q19" s="322">
        <v>544.17999999999995</v>
      </c>
      <c r="R19" s="323">
        <f t="shared" si="0"/>
        <v>765.5</v>
      </c>
      <c r="S19" s="324">
        <v>747.72</v>
      </c>
    </row>
    <row r="20" spans="1:19" ht="20.100000000000001" customHeight="1" x14ac:dyDescent="0.25">
      <c r="A20" s="468" t="s">
        <v>43</v>
      </c>
      <c r="B20" s="562">
        <v>170.2</v>
      </c>
      <c r="C20" s="568">
        <v>1006.6</v>
      </c>
      <c r="D20" s="571">
        <v>33.200000000000003</v>
      </c>
      <c r="E20" s="322">
        <v>1157.9000000000001</v>
      </c>
      <c r="F20" s="323">
        <v>46.5</v>
      </c>
      <c r="G20" s="322">
        <v>1073.3</v>
      </c>
      <c r="H20" s="323">
        <v>70.900000000000006</v>
      </c>
      <c r="I20" s="322">
        <v>913.92</v>
      </c>
      <c r="J20" s="323">
        <v>19.600000000000001</v>
      </c>
      <c r="K20" s="322">
        <v>927.48</v>
      </c>
      <c r="L20" s="323">
        <v>0</v>
      </c>
      <c r="M20" s="572" t="s">
        <v>388</v>
      </c>
      <c r="N20" s="565">
        <v>25.6</v>
      </c>
      <c r="O20" s="322">
        <v>824.77</v>
      </c>
      <c r="P20" s="323">
        <v>83.6</v>
      </c>
      <c r="Q20" s="322">
        <v>760.65</v>
      </c>
      <c r="R20" s="323">
        <f t="shared" si="0"/>
        <v>279.39999999999998</v>
      </c>
      <c r="S20" s="324">
        <v>916.35</v>
      </c>
    </row>
    <row r="21" spans="1:19" ht="20.100000000000001" customHeight="1" x14ac:dyDescent="0.25">
      <c r="A21" s="468" t="s">
        <v>45</v>
      </c>
      <c r="B21" s="562">
        <v>102.6</v>
      </c>
      <c r="C21" s="568">
        <v>1031.9000000000001</v>
      </c>
      <c r="D21" s="571">
        <v>14.8</v>
      </c>
      <c r="E21" s="322">
        <v>1407.5</v>
      </c>
      <c r="F21" s="323">
        <v>15.4</v>
      </c>
      <c r="G21" s="322">
        <v>1229.5999999999999</v>
      </c>
      <c r="H21" s="323">
        <v>48</v>
      </c>
      <c r="I21" s="322">
        <v>973.51</v>
      </c>
      <c r="J21" s="323">
        <v>24.4</v>
      </c>
      <c r="K21" s="322">
        <v>794.08</v>
      </c>
      <c r="L21" s="323">
        <v>0</v>
      </c>
      <c r="M21" s="572" t="s">
        <v>388</v>
      </c>
      <c r="N21" s="565">
        <v>20.3</v>
      </c>
      <c r="O21" s="322">
        <v>994.02</v>
      </c>
      <c r="P21" s="323">
        <v>86.1</v>
      </c>
      <c r="Q21" s="322">
        <v>724.13</v>
      </c>
      <c r="R21" s="323">
        <f t="shared" si="0"/>
        <v>209</v>
      </c>
      <c r="S21" s="324">
        <v>901.42</v>
      </c>
    </row>
    <row r="22" spans="1:19" ht="29.25" customHeight="1" x14ac:dyDescent="0.25">
      <c r="A22" s="468" t="s">
        <v>173</v>
      </c>
      <c r="B22" s="562">
        <v>103.2</v>
      </c>
      <c r="C22" s="568">
        <v>1020.6</v>
      </c>
      <c r="D22" s="571">
        <v>32.5</v>
      </c>
      <c r="E22" s="322">
        <v>1216.0999999999999</v>
      </c>
      <c r="F22" s="323">
        <v>17.100000000000001</v>
      </c>
      <c r="G22" s="322">
        <v>1136.9000000000001</v>
      </c>
      <c r="H22" s="323">
        <v>47.6</v>
      </c>
      <c r="I22" s="322">
        <v>886.03</v>
      </c>
      <c r="J22" s="323">
        <v>6</v>
      </c>
      <c r="K22" s="322">
        <v>698.11</v>
      </c>
      <c r="L22" s="323">
        <v>0</v>
      </c>
      <c r="M22" s="572" t="s">
        <v>388</v>
      </c>
      <c r="N22" s="565">
        <v>0</v>
      </c>
      <c r="O22" s="325" t="s">
        <v>388</v>
      </c>
      <c r="P22" s="323">
        <v>67</v>
      </c>
      <c r="Q22" s="322">
        <v>651.42999999999995</v>
      </c>
      <c r="R22" s="323">
        <f t="shared" si="0"/>
        <v>170.2</v>
      </c>
      <c r="S22" s="324">
        <v>875.29</v>
      </c>
    </row>
    <row r="23" spans="1:19" ht="20.100000000000001" customHeight="1" x14ac:dyDescent="0.25">
      <c r="A23" s="468" t="s">
        <v>130</v>
      </c>
      <c r="B23" s="562">
        <v>377</v>
      </c>
      <c r="C23" s="568">
        <v>1058.8</v>
      </c>
      <c r="D23" s="571">
        <v>62.8</v>
      </c>
      <c r="E23" s="322">
        <v>1396</v>
      </c>
      <c r="F23" s="323">
        <v>83.9</v>
      </c>
      <c r="G23" s="322">
        <v>1059.2</v>
      </c>
      <c r="H23" s="323">
        <v>201.9</v>
      </c>
      <c r="I23" s="322">
        <v>985.06</v>
      </c>
      <c r="J23" s="323">
        <v>25.8</v>
      </c>
      <c r="K23" s="322">
        <v>840.73</v>
      </c>
      <c r="L23" s="323">
        <v>2.6</v>
      </c>
      <c r="M23" s="324">
        <v>788.46</v>
      </c>
      <c r="N23" s="565">
        <v>9.4</v>
      </c>
      <c r="O23" s="322">
        <v>719.4</v>
      </c>
      <c r="P23" s="323">
        <v>229.3</v>
      </c>
      <c r="Q23" s="322">
        <v>647.6</v>
      </c>
      <c r="R23" s="323">
        <f t="shared" si="0"/>
        <v>615.70000000000005</v>
      </c>
      <c r="S23" s="324">
        <v>900.47</v>
      </c>
    </row>
    <row r="24" spans="1:19" ht="20.100000000000001" customHeight="1" thickBot="1" x14ac:dyDescent="0.3">
      <c r="A24" s="560" t="s">
        <v>42</v>
      </c>
      <c r="B24" s="563">
        <v>85.6</v>
      </c>
      <c r="C24" s="569">
        <v>1066.8</v>
      </c>
      <c r="D24" s="573">
        <v>16.399999999999999</v>
      </c>
      <c r="E24" s="326">
        <v>1432.7</v>
      </c>
      <c r="F24" s="327">
        <v>11.7</v>
      </c>
      <c r="G24" s="326">
        <v>1233.9000000000001</v>
      </c>
      <c r="H24" s="327">
        <v>31.1</v>
      </c>
      <c r="I24" s="326">
        <v>992.39</v>
      </c>
      <c r="J24" s="327">
        <v>26.4</v>
      </c>
      <c r="K24" s="326">
        <v>853.21</v>
      </c>
      <c r="L24" s="327">
        <v>0</v>
      </c>
      <c r="M24" s="574" t="s">
        <v>388</v>
      </c>
      <c r="N24" s="566">
        <v>0.1</v>
      </c>
      <c r="O24" s="326">
        <v>936.67</v>
      </c>
      <c r="P24" s="327">
        <v>75.5</v>
      </c>
      <c r="Q24" s="326">
        <v>701.98</v>
      </c>
      <c r="R24" s="327">
        <f t="shared" si="0"/>
        <v>161.19999999999999</v>
      </c>
      <c r="S24" s="328">
        <v>895.87</v>
      </c>
    </row>
    <row r="25" spans="1:19" s="44" customFormat="1" ht="20.100000000000001" customHeight="1" thickBot="1" x14ac:dyDescent="0.3">
      <c r="A25" s="222" t="s">
        <v>18</v>
      </c>
      <c r="B25" s="329">
        <f>SUM(B5:B24)</f>
        <v>9965.1000000000022</v>
      </c>
      <c r="C25" s="330">
        <v>1156.49</v>
      </c>
      <c r="D25" s="329">
        <f>SUM(D5:D24)</f>
        <v>1448.3</v>
      </c>
      <c r="E25" s="330">
        <v>1699.27</v>
      </c>
      <c r="F25" s="331">
        <f>SUM(F5:F24)</f>
        <v>2154.1</v>
      </c>
      <c r="G25" s="330">
        <v>1334.36</v>
      </c>
      <c r="H25" s="331">
        <f>SUM(H5:H24)</f>
        <v>5895.7</v>
      </c>
      <c r="I25" s="330">
        <v>986.2</v>
      </c>
      <c r="J25" s="331">
        <f>SUM(J5:J24)</f>
        <v>318.89999999999998</v>
      </c>
      <c r="K25" s="330">
        <v>784.23</v>
      </c>
      <c r="L25" s="331">
        <f>SUM(L5:L24)</f>
        <v>148.1</v>
      </c>
      <c r="M25" s="330">
        <v>842.16</v>
      </c>
      <c r="N25" s="331">
        <f>SUM(N5:N24)</f>
        <v>1555.1999999999998</v>
      </c>
      <c r="O25" s="330">
        <v>908.49</v>
      </c>
      <c r="P25" s="331">
        <f>SUM(P5:P24)</f>
        <v>10017.400000000001</v>
      </c>
      <c r="Q25" s="330">
        <v>657.7</v>
      </c>
      <c r="R25" s="331">
        <f>SUM(R5:R24)</f>
        <v>21537.700000000004</v>
      </c>
      <c r="S25" s="332">
        <v>906.59</v>
      </c>
    </row>
    <row r="26" spans="1:19" x14ac:dyDescent="0.25">
      <c r="A26" s="459" t="s">
        <v>131</v>
      </c>
      <c r="B26" s="45"/>
      <c r="C26" s="46"/>
      <c r="D26" s="45"/>
      <c r="E26" s="46"/>
      <c r="F26" s="45"/>
      <c r="G26" s="46"/>
      <c r="H26" s="45"/>
      <c r="I26" s="46"/>
      <c r="J26" s="45"/>
      <c r="K26" s="46"/>
      <c r="L26" s="45"/>
      <c r="M26" s="46"/>
      <c r="N26" s="45"/>
      <c r="O26" s="46"/>
      <c r="P26" s="45"/>
      <c r="Q26" s="46"/>
      <c r="R26" s="45"/>
      <c r="S26" s="46"/>
    </row>
    <row r="27" spans="1:19" x14ac:dyDescent="0.25">
      <c r="A27" s="47"/>
      <c r="B27" s="45"/>
      <c r="C27" s="46"/>
      <c r="D27" s="45"/>
      <c r="E27" s="46"/>
      <c r="F27" s="45"/>
      <c r="G27" s="46"/>
      <c r="H27" s="45"/>
      <c r="I27" s="46"/>
      <c r="J27" s="45"/>
      <c r="K27" s="46"/>
      <c r="L27" s="45"/>
      <c r="M27" s="46"/>
      <c r="N27" s="45"/>
      <c r="O27" s="46"/>
      <c r="P27" s="45"/>
      <c r="Q27" s="46"/>
      <c r="R27" s="45"/>
      <c r="S27" s="46"/>
    </row>
  </sheetData>
  <mergeCells count="11">
    <mergeCell ref="R2:R3"/>
    <mergeCell ref="S2:S3"/>
    <mergeCell ref="B2:B3"/>
    <mergeCell ref="C2:C3"/>
    <mergeCell ref="A2:A3"/>
    <mergeCell ref="D2:M2"/>
    <mergeCell ref="A1:S1"/>
    <mergeCell ref="N2:N3"/>
    <mergeCell ref="O2:O3"/>
    <mergeCell ref="P2:P3"/>
    <mergeCell ref="Q2:Q3"/>
  </mergeCells>
  <pageMargins left="0.51181102362204722" right="0" top="0.74803149606299213" bottom="0.55118110236220474" header="0.11811023622047245" footer="0.11811023622047245"/>
  <pageSetup paperSize="9" scale="78" orientation="landscape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workbookViewId="0">
      <selection sqref="A1:C1"/>
    </sheetView>
  </sheetViews>
  <sheetFormatPr defaultRowHeight="15" x14ac:dyDescent="0.25"/>
  <cols>
    <col min="1" max="1" width="31.42578125" style="83" customWidth="1"/>
    <col min="2" max="2" width="23.5703125" style="83" customWidth="1"/>
    <col min="3" max="3" width="29.42578125" style="8" customWidth="1"/>
    <col min="4" max="4" width="7.85546875" style="83" customWidth="1"/>
    <col min="5" max="5" width="11.5703125" style="83" customWidth="1"/>
    <col min="6" max="6" width="13.42578125" style="83" customWidth="1"/>
    <col min="7" max="7" width="34.85546875" style="83" customWidth="1"/>
    <col min="8" max="16384" width="9.140625" style="83"/>
  </cols>
  <sheetData>
    <row r="1" spans="1:8" ht="51.75" customHeight="1" thickBot="1" x14ac:dyDescent="0.3">
      <c r="A1" s="1028" t="s">
        <v>527</v>
      </c>
      <c r="B1" s="1028"/>
      <c r="C1" s="1028"/>
      <c r="E1" s="81"/>
      <c r="F1" s="80"/>
      <c r="G1" s="8"/>
      <c r="H1" s="223"/>
    </row>
    <row r="2" spans="1:8" ht="60" customHeight="1" thickBot="1" x14ac:dyDescent="0.3">
      <c r="A2" s="872" t="s">
        <v>47</v>
      </c>
      <c r="B2" s="873" t="s">
        <v>382</v>
      </c>
      <c r="C2" s="874" t="s">
        <v>526</v>
      </c>
      <c r="E2" s="81"/>
      <c r="F2" s="80"/>
      <c r="G2" s="8"/>
      <c r="H2" s="223"/>
    </row>
    <row r="3" spans="1:8" ht="21" customHeight="1" x14ac:dyDescent="0.25">
      <c r="A3" s="467" t="s">
        <v>25</v>
      </c>
      <c r="B3" s="881">
        <v>23</v>
      </c>
      <c r="C3" s="876">
        <v>53.6</v>
      </c>
      <c r="E3" s="81"/>
      <c r="F3" s="80"/>
      <c r="G3" s="8"/>
      <c r="H3" s="223"/>
    </row>
    <row r="4" spans="1:8" ht="21" customHeight="1" x14ac:dyDescent="0.25">
      <c r="A4" s="468" t="s">
        <v>33</v>
      </c>
      <c r="B4" s="882">
        <v>8</v>
      </c>
      <c r="C4" s="877">
        <v>55.6</v>
      </c>
      <c r="E4" s="81"/>
      <c r="F4" s="80"/>
      <c r="G4" s="8"/>
      <c r="H4" s="223"/>
    </row>
    <row r="5" spans="1:8" ht="21" customHeight="1" x14ac:dyDescent="0.25">
      <c r="A5" s="468" t="s">
        <v>31</v>
      </c>
      <c r="B5" s="882">
        <v>5</v>
      </c>
      <c r="C5" s="877">
        <v>59.2</v>
      </c>
      <c r="E5" s="81"/>
      <c r="F5" s="80"/>
      <c r="G5" s="8"/>
      <c r="H5" s="223"/>
    </row>
    <row r="6" spans="1:8" ht="21" customHeight="1" x14ac:dyDescent="0.25">
      <c r="A6" s="468" t="s">
        <v>36</v>
      </c>
      <c r="B6" s="882">
        <v>2</v>
      </c>
      <c r="C6" s="877">
        <v>62</v>
      </c>
      <c r="E6" s="81"/>
      <c r="F6" s="80"/>
      <c r="G6" s="8"/>
      <c r="H6" s="223"/>
    </row>
    <row r="7" spans="1:8" ht="21" customHeight="1" x14ac:dyDescent="0.25">
      <c r="A7" s="468" t="s">
        <v>603</v>
      </c>
      <c r="B7" s="882">
        <v>1</v>
      </c>
      <c r="C7" s="877">
        <v>48</v>
      </c>
      <c r="E7" s="81"/>
      <c r="F7" s="80"/>
      <c r="G7" s="8"/>
      <c r="H7" s="223"/>
    </row>
    <row r="8" spans="1:8" ht="21" customHeight="1" x14ac:dyDescent="0.25">
      <c r="A8" s="468" t="s">
        <v>30</v>
      </c>
      <c r="B8" s="882">
        <v>12</v>
      </c>
      <c r="C8" s="877">
        <v>55.8</v>
      </c>
      <c r="E8" s="81"/>
      <c r="F8" s="80"/>
      <c r="G8" s="8"/>
      <c r="H8" s="223"/>
    </row>
    <row r="9" spans="1:8" ht="21" customHeight="1" x14ac:dyDescent="0.25">
      <c r="A9" s="468" t="s">
        <v>25</v>
      </c>
      <c r="B9" s="882">
        <v>5</v>
      </c>
      <c r="C9" s="877">
        <v>59.2</v>
      </c>
      <c r="E9" s="81"/>
      <c r="F9" s="80"/>
      <c r="G9" s="8"/>
      <c r="H9" s="223"/>
    </row>
    <row r="10" spans="1:8" ht="21" customHeight="1" x14ac:dyDescent="0.25">
      <c r="A10" s="468" t="s">
        <v>34</v>
      </c>
      <c r="B10" s="882">
        <v>9</v>
      </c>
      <c r="C10" s="877">
        <v>55.3</v>
      </c>
      <c r="E10" s="81"/>
      <c r="F10" s="80"/>
      <c r="G10" s="8"/>
      <c r="H10" s="223"/>
    </row>
    <row r="11" spans="1:8" ht="21" customHeight="1" x14ac:dyDescent="0.25">
      <c r="A11" s="468" t="s">
        <v>26</v>
      </c>
      <c r="B11" s="882">
        <v>18</v>
      </c>
      <c r="C11" s="877">
        <v>52.9</v>
      </c>
      <c r="E11" s="81"/>
      <c r="F11" s="80"/>
      <c r="G11" s="8"/>
      <c r="H11" s="223"/>
    </row>
    <row r="12" spans="1:8" ht="21" customHeight="1" x14ac:dyDescent="0.25">
      <c r="A12" s="468" t="s">
        <v>27</v>
      </c>
      <c r="B12" s="882">
        <v>8</v>
      </c>
      <c r="C12" s="877">
        <v>51.3</v>
      </c>
      <c r="E12" s="81"/>
      <c r="F12" s="80"/>
      <c r="G12" s="8"/>
      <c r="H12" s="223"/>
    </row>
    <row r="13" spans="1:8" ht="21" customHeight="1" x14ac:dyDescent="0.25">
      <c r="A13" s="468" t="s">
        <v>49</v>
      </c>
      <c r="B13" s="882">
        <v>8</v>
      </c>
      <c r="C13" s="877">
        <v>51.6</v>
      </c>
      <c r="E13" s="81"/>
      <c r="F13" s="80"/>
      <c r="G13" s="8"/>
      <c r="H13" s="223"/>
    </row>
    <row r="14" spans="1:8" ht="21" customHeight="1" x14ac:dyDescent="0.25">
      <c r="A14" s="468" t="s">
        <v>386</v>
      </c>
      <c r="B14" s="882">
        <v>1</v>
      </c>
      <c r="C14" s="878">
        <v>43</v>
      </c>
      <c r="E14" s="81"/>
      <c r="F14" s="80"/>
      <c r="G14" s="8"/>
      <c r="H14" s="223"/>
    </row>
    <row r="15" spans="1:8" ht="21" customHeight="1" x14ac:dyDescent="0.25">
      <c r="A15" s="468" t="s">
        <v>29</v>
      </c>
      <c r="B15" s="882">
        <v>7</v>
      </c>
      <c r="C15" s="878">
        <v>54</v>
      </c>
      <c r="E15" s="81"/>
      <c r="F15" s="80"/>
      <c r="G15" s="8"/>
      <c r="H15" s="223"/>
    </row>
    <row r="16" spans="1:8" ht="21" customHeight="1" x14ac:dyDescent="0.25">
      <c r="A16" s="468" t="s">
        <v>32</v>
      </c>
      <c r="B16" s="882">
        <v>8</v>
      </c>
      <c r="C16" s="878">
        <v>48.1</v>
      </c>
      <c r="E16" s="81"/>
      <c r="F16" s="80"/>
      <c r="G16" s="8"/>
      <c r="H16" s="223"/>
    </row>
    <row r="17" spans="1:8" ht="21" customHeight="1" x14ac:dyDescent="0.25">
      <c r="A17" s="468" t="s">
        <v>38</v>
      </c>
      <c r="B17" s="882">
        <v>1</v>
      </c>
      <c r="C17" s="878">
        <v>53</v>
      </c>
      <c r="E17" s="81"/>
      <c r="F17" s="80"/>
      <c r="G17" s="8"/>
      <c r="H17" s="223"/>
    </row>
    <row r="18" spans="1:8" ht="21" customHeight="1" x14ac:dyDescent="0.25">
      <c r="A18" s="468" t="s">
        <v>43</v>
      </c>
      <c r="B18" s="882">
        <v>3</v>
      </c>
      <c r="C18" s="878">
        <v>54.7</v>
      </c>
      <c r="E18" s="81"/>
      <c r="F18" s="80"/>
      <c r="G18" s="82"/>
      <c r="H18" s="223"/>
    </row>
    <row r="19" spans="1:8" ht="21" customHeight="1" x14ac:dyDescent="0.25">
      <c r="A19" s="468" t="s">
        <v>45</v>
      </c>
      <c r="B19" s="883">
        <v>2</v>
      </c>
      <c r="C19" s="879">
        <v>55</v>
      </c>
      <c r="E19" s="81"/>
      <c r="F19" s="80"/>
      <c r="G19" s="82"/>
      <c r="H19" s="223"/>
    </row>
    <row r="20" spans="1:8" ht="21" customHeight="1" x14ac:dyDescent="0.25">
      <c r="A20" s="468" t="s">
        <v>173</v>
      </c>
      <c r="B20" s="883">
        <v>2</v>
      </c>
      <c r="C20" s="879">
        <v>63.5</v>
      </c>
      <c r="E20" s="81"/>
      <c r="F20" s="80"/>
      <c r="G20" s="82"/>
      <c r="H20" s="223"/>
    </row>
    <row r="21" spans="1:8" ht="21" customHeight="1" x14ac:dyDescent="0.25">
      <c r="A21" s="468" t="s">
        <v>130</v>
      </c>
      <c r="B21" s="883">
        <v>6</v>
      </c>
      <c r="C21" s="879">
        <v>51.3</v>
      </c>
      <c r="E21" s="81"/>
      <c r="F21" s="80"/>
      <c r="G21" s="82"/>
      <c r="H21" s="223"/>
    </row>
    <row r="22" spans="1:8" ht="21" customHeight="1" x14ac:dyDescent="0.25">
      <c r="A22" s="469" t="s">
        <v>108</v>
      </c>
      <c r="B22" s="883">
        <v>1</v>
      </c>
      <c r="C22" s="879">
        <v>43</v>
      </c>
      <c r="E22" s="81"/>
      <c r="F22" s="80"/>
      <c r="G22" s="82"/>
      <c r="H22" s="223"/>
    </row>
    <row r="23" spans="1:8" ht="21" customHeight="1" thickBot="1" x14ac:dyDescent="0.3">
      <c r="A23" s="875" t="s">
        <v>390</v>
      </c>
      <c r="B23" s="884">
        <v>23</v>
      </c>
      <c r="C23" s="880">
        <v>53.3</v>
      </c>
      <c r="E23" s="81"/>
      <c r="F23" s="80"/>
      <c r="G23" s="82"/>
      <c r="H23" s="223"/>
    </row>
    <row r="24" spans="1:8" ht="15.75" thickBot="1" x14ac:dyDescent="0.3">
      <c r="A24" s="470" t="s">
        <v>18</v>
      </c>
      <c r="B24" s="816">
        <f>SUM(B3:B23)</f>
        <v>153</v>
      </c>
      <c r="C24" s="815">
        <v>53.7</v>
      </c>
      <c r="E24" s="81"/>
      <c r="F24" s="80"/>
      <c r="G24" s="82"/>
      <c r="H24" s="223"/>
    </row>
    <row r="25" spans="1:8" x14ac:dyDescent="0.25">
      <c r="A25" s="254"/>
      <c r="B25" s="254"/>
      <c r="C25" s="460" t="s">
        <v>497</v>
      </c>
      <c r="E25" s="81"/>
      <c r="F25" s="80"/>
      <c r="G25" s="82"/>
      <c r="H25" s="223"/>
    </row>
    <row r="26" spans="1:8" x14ac:dyDescent="0.25">
      <c r="A26" s="466"/>
      <c r="B26" s="464"/>
      <c r="C26" s="83"/>
      <c r="E26" s="81"/>
      <c r="F26" s="80"/>
      <c r="G26" s="82"/>
      <c r="H26" s="223"/>
    </row>
    <row r="27" spans="1:8" x14ac:dyDescent="0.25">
      <c r="A27" s="465"/>
      <c r="B27" s="80"/>
      <c r="C27" s="83"/>
      <c r="E27" s="81"/>
      <c r="F27" s="80"/>
      <c r="G27" s="82"/>
      <c r="H27" s="223"/>
    </row>
    <row r="28" spans="1:8" x14ac:dyDescent="0.25">
      <c r="A28" s="465"/>
      <c r="B28" s="80"/>
      <c r="C28" s="83"/>
      <c r="E28" s="81"/>
      <c r="F28" s="80"/>
      <c r="G28" s="82"/>
      <c r="H28" s="223"/>
    </row>
    <row r="29" spans="1:8" x14ac:dyDescent="0.25">
      <c r="A29" s="465"/>
      <c r="B29" s="80"/>
      <c r="C29" s="83"/>
      <c r="E29" s="81"/>
      <c r="F29" s="80"/>
      <c r="G29" s="82"/>
      <c r="H29" s="223"/>
    </row>
    <row r="30" spans="1:8" x14ac:dyDescent="0.25">
      <c r="A30" s="465"/>
      <c r="B30" s="80"/>
      <c r="C30" s="83"/>
      <c r="E30" s="81"/>
      <c r="F30" s="80"/>
      <c r="G30" s="82"/>
      <c r="H30" s="223"/>
    </row>
    <row r="31" spans="1:8" x14ac:dyDescent="0.25">
      <c r="A31" s="465"/>
      <c r="B31" s="80"/>
      <c r="C31" s="83"/>
      <c r="E31" s="81"/>
      <c r="F31" s="80"/>
      <c r="G31" s="82"/>
      <c r="H31" s="223"/>
    </row>
    <row r="32" spans="1:8" x14ac:dyDescent="0.25">
      <c r="A32" s="465"/>
      <c r="B32" s="80"/>
      <c r="C32" s="83"/>
      <c r="E32" s="81"/>
      <c r="F32" s="80"/>
      <c r="G32" s="82"/>
      <c r="H32" s="223"/>
    </row>
    <row r="33" spans="1:8" x14ac:dyDescent="0.25">
      <c r="A33" s="465"/>
      <c r="B33" s="80"/>
      <c r="C33" s="83"/>
      <c r="E33" s="81"/>
      <c r="F33" s="80"/>
      <c r="G33" s="82"/>
      <c r="H33" s="223"/>
    </row>
    <row r="34" spans="1:8" x14ac:dyDescent="0.25">
      <c r="A34" s="465"/>
      <c r="B34" s="80"/>
      <c r="C34" s="83"/>
      <c r="E34" s="81"/>
      <c r="F34" s="80"/>
      <c r="G34" s="82"/>
      <c r="H34" s="223"/>
    </row>
    <row r="35" spans="1:8" x14ac:dyDescent="0.25">
      <c r="A35" s="465"/>
      <c r="B35" s="84"/>
      <c r="E35" s="81"/>
      <c r="F35" s="84"/>
      <c r="H35" s="223"/>
    </row>
    <row r="36" spans="1:8" x14ac:dyDescent="0.25">
      <c r="A36" s="465"/>
      <c r="B36" s="84"/>
      <c r="E36" s="81"/>
      <c r="F36" s="84"/>
      <c r="H36" s="223"/>
    </row>
    <row r="37" spans="1:8" x14ac:dyDescent="0.25">
      <c r="A37" s="465"/>
      <c r="B37" s="84"/>
      <c r="E37" s="81"/>
      <c r="F37" s="84"/>
      <c r="H37" s="223"/>
    </row>
    <row r="38" spans="1:8" x14ac:dyDescent="0.25">
      <c r="A38" s="465"/>
      <c r="B38" s="84"/>
      <c r="E38" s="81"/>
      <c r="F38" s="84"/>
      <c r="H38" s="223"/>
    </row>
    <row r="39" spans="1:8" x14ac:dyDescent="0.25">
      <c r="A39" s="465"/>
      <c r="B39" s="84"/>
      <c r="E39" s="81"/>
      <c r="F39" s="84"/>
      <c r="H39" s="223"/>
    </row>
    <row r="40" spans="1:8" x14ac:dyDescent="0.25">
      <c r="A40" s="465"/>
      <c r="B40" s="84"/>
      <c r="E40" s="81"/>
      <c r="F40" s="84"/>
      <c r="H40" s="223"/>
    </row>
    <row r="41" spans="1:8" x14ac:dyDescent="0.25">
      <c r="A41" s="465"/>
      <c r="B41" s="84"/>
      <c r="E41" s="81"/>
      <c r="F41" s="84"/>
      <c r="H41" s="223"/>
    </row>
    <row r="42" spans="1:8" x14ac:dyDescent="0.25">
      <c r="A42" s="465"/>
      <c r="B42" s="84"/>
      <c r="E42" s="81"/>
      <c r="F42" s="84"/>
      <c r="H42" s="223"/>
    </row>
    <row r="43" spans="1:8" x14ac:dyDescent="0.25">
      <c r="A43" s="465"/>
      <c r="B43" s="84"/>
      <c r="E43" s="81"/>
      <c r="F43" s="84"/>
      <c r="H43" s="223"/>
    </row>
    <row r="44" spans="1:8" x14ac:dyDescent="0.25">
      <c r="A44" s="465"/>
      <c r="B44" s="84"/>
      <c r="E44" s="81"/>
      <c r="F44" s="84"/>
      <c r="H44" s="223"/>
    </row>
    <row r="45" spans="1:8" x14ac:dyDescent="0.25">
      <c r="A45" s="8"/>
      <c r="B45" s="84"/>
      <c r="E45" s="81"/>
      <c r="F45" s="84"/>
      <c r="H45" s="223"/>
    </row>
    <row r="46" spans="1:8" x14ac:dyDescent="0.25">
      <c r="A46" s="8"/>
      <c r="B46" s="84"/>
      <c r="E46" s="81"/>
      <c r="F46" s="84"/>
      <c r="H46" s="223"/>
    </row>
    <row r="47" spans="1:8" x14ac:dyDescent="0.25">
      <c r="A47" s="8"/>
      <c r="B47" s="84"/>
      <c r="E47" s="81"/>
      <c r="F47" s="84"/>
      <c r="H47" s="223"/>
    </row>
    <row r="48" spans="1:8" x14ac:dyDescent="0.25">
      <c r="A48" s="8"/>
      <c r="B48" s="84"/>
      <c r="E48" s="81"/>
      <c r="F48" s="84"/>
      <c r="H48" s="223"/>
    </row>
    <row r="49" spans="1:8" x14ac:dyDescent="0.25">
      <c r="A49" s="8"/>
      <c r="B49" s="84"/>
      <c r="E49" s="81"/>
      <c r="F49" s="84"/>
      <c r="H49" s="223"/>
    </row>
    <row r="50" spans="1:8" x14ac:dyDescent="0.25">
      <c r="A50" s="8"/>
      <c r="B50" s="84"/>
      <c r="E50" s="81"/>
      <c r="F50" s="84"/>
      <c r="H50" s="223"/>
    </row>
    <row r="51" spans="1:8" x14ac:dyDescent="0.25">
      <c r="A51" s="8"/>
      <c r="B51" s="84"/>
      <c r="E51" s="81"/>
      <c r="F51" s="84"/>
      <c r="H51" s="223"/>
    </row>
    <row r="52" spans="1:8" x14ac:dyDescent="0.25">
      <c r="A52" s="8"/>
      <c r="B52" s="84"/>
      <c r="E52" s="81"/>
      <c r="F52" s="84"/>
      <c r="H52" s="223"/>
    </row>
    <row r="53" spans="1:8" x14ac:dyDescent="0.25">
      <c r="A53" s="8"/>
      <c r="B53" s="84"/>
      <c r="E53" s="81"/>
      <c r="F53" s="84"/>
      <c r="H53" s="223"/>
    </row>
    <row r="54" spans="1:8" x14ac:dyDescent="0.25">
      <c r="A54" s="8"/>
      <c r="B54" s="84"/>
      <c r="E54" s="81"/>
      <c r="F54" s="84"/>
      <c r="H54" s="223"/>
    </row>
    <row r="55" spans="1:8" x14ac:dyDescent="0.25">
      <c r="A55" s="8"/>
      <c r="B55" s="84"/>
      <c r="E55" s="81"/>
      <c r="F55" s="84"/>
      <c r="H55" s="223"/>
    </row>
    <row r="56" spans="1:8" x14ac:dyDescent="0.25">
      <c r="A56" s="8"/>
      <c r="B56" s="84"/>
      <c r="E56" s="81"/>
      <c r="F56" s="84"/>
      <c r="H56" s="223"/>
    </row>
    <row r="57" spans="1:8" x14ac:dyDescent="0.25">
      <c r="A57" s="8"/>
      <c r="B57" s="84"/>
      <c r="E57" s="81"/>
      <c r="F57" s="84"/>
      <c r="H57" s="223"/>
    </row>
    <row r="58" spans="1:8" x14ac:dyDescent="0.25">
      <c r="A58" s="8"/>
      <c r="B58" s="84"/>
      <c r="E58" s="81"/>
      <c r="F58" s="84"/>
      <c r="H58" s="223"/>
    </row>
    <row r="59" spans="1:8" x14ac:dyDescent="0.25">
      <c r="A59" s="8"/>
      <c r="B59" s="84"/>
      <c r="E59" s="81"/>
      <c r="F59" s="84"/>
    </row>
    <row r="60" spans="1:8" x14ac:dyDescent="0.25">
      <c r="A60" s="8"/>
      <c r="B60" s="84"/>
      <c r="E60" s="81"/>
      <c r="F60" s="84"/>
    </row>
    <row r="61" spans="1:8" x14ac:dyDescent="0.25">
      <c r="A61" s="8"/>
      <c r="B61" s="84"/>
      <c r="E61" s="81"/>
      <c r="F61" s="84"/>
    </row>
    <row r="62" spans="1:8" x14ac:dyDescent="0.25">
      <c r="A62" s="8"/>
      <c r="B62" s="84"/>
      <c r="E62" s="81"/>
      <c r="F62" s="84"/>
    </row>
    <row r="63" spans="1:8" x14ac:dyDescent="0.25">
      <c r="A63" s="8"/>
      <c r="B63" s="84"/>
      <c r="E63" s="81"/>
      <c r="F63" s="84"/>
    </row>
    <row r="64" spans="1:8" x14ac:dyDescent="0.25">
      <c r="A64" s="8"/>
      <c r="B64" s="84"/>
      <c r="E64" s="81"/>
      <c r="F64" s="84"/>
    </row>
    <row r="65" spans="1:6" x14ac:dyDescent="0.25">
      <c r="A65" s="8"/>
      <c r="B65" s="84"/>
      <c r="E65" s="81"/>
      <c r="F65" s="84"/>
    </row>
    <row r="66" spans="1:6" x14ac:dyDescent="0.25">
      <c r="A66" s="8"/>
      <c r="B66" s="84"/>
      <c r="E66" s="81"/>
      <c r="F66" s="84"/>
    </row>
    <row r="67" spans="1:6" x14ac:dyDescent="0.25">
      <c r="A67" s="8"/>
      <c r="B67" s="84"/>
      <c r="E67" s="81"/>
      <c r="F67" s="84"/>
    </row>
    <row r="68" spans="1:6" x14ac:dyDescent="0.25">
      <c r="A68" s="8"/>
      <c r="B68" s="84"/>
      <c r="E68" s="81"/>
      <c r="F68" s="84"/>
    </row>
    <row r="69" spans="1:6" x14ac:dyDescent="0.25">
      <c r="A69" s="8"/>
      <c r="B69" s="84"/>
      <c r="E69" s="81"/>
      <c r="F69" s="84"/>
    </row>
    <row r="70" spans="1:6" x14ac:dyDescent="0.25">
      <c r="A70" s="8"/>
      <c r="B70" s="84"/>
      <c r="E70" s="81"/>
      <c r="F70" s="84"/>
    </row>
    <row r="71" spans="1:6" x14ac:dyDescent="0.25">
      <c r="A71" s="8"/>
      <c r="B71" s="84"/>
      <c r="E71" s="81"/>
      <c r="F71" s="84"/>
    </row>
    <row r="72" spans="1:6" x14ac:dyDescent="0.25">
      <c r="A72" s="8"/>
      <c r="B72" s="84"/>
      <c r="E72" s="81"/>
      <c r="F72" s="84"/>
    </row>
    <row r="73" spans="1:6" x14ac:dyDescent="0.25">
      <c r="A73" s="8"/>
      <c r="B73" s="84"/>
      <c r="E73" s="81"/>
      <c r="F73" s="84"/>
    </row>
    <row r="74" spans="1:6" x14ac:dyDescent="0.25">
      <c r="A74" s="8"/>
      <c r="B74" s="84"/>
      <c r="E74" s="81"/>
      <c r="F74" s="84"/>
    </row>
    <row r="75" spans="1:6" x14ac:dyDescent="0.25">
      <c r="A75" s="8"/>
      <c r="B75" s="84"/>
      <c r="E75" s="81"/>
      <c r="F75" s="84"/>
    </row>
    <row r="76" spans="1:6" x14ac:dyDescent="0.25">
      <c r="A76" s="8"/>
      <c r="B76" s="84"/>
      <c r="E76" s="81"/>
      <c r="F76" s="84"/>
    </row>
    <row r="77" spans="1:6" x14ac:dyDescent="0.25">
      <c r="A77" s="8"/>
      <c r="B77" s="84"/>
      <c r="E77" s="81"/>
      <c r="F77" s="84"/>
    </row>
    <row r="78" spans="1:6" x14ac:dyDescent="0.25">
      <c r="A78" s="8"/>
      <c r="B78" s="84"/>
      <c r="E78" s="81"/>
      <c r="F78" s="84"/>
    </row>
    <row r="79" spans="1:6" x14ac:dyDescent="0.25">
      <c r="A79" s="8"/>
      <c r="B79" s="84"/>
      <c r="E79" s="81"/>
      <c r="F79" s="84"/>
    </row>
    <row r="80" spans="1:6" x14ac:dyDescent="0.25">
      <c r="A80" s="8"/>
      <c r="B80" s="84"/>
      <c r="E80" s="81"/>
      <c r="F80" s="84"/>
    </row>
    <row r="81" spans="1:6" x14ac:dyDescent="0.25">
      <c r="A81" s="8"/>
      <c r="B81" s="84"/>
      <c r="E81" s="81"/>
      <c r="F81" s="84"/>
    </row>
    <row r="82" spans="1:6" x14ac:dyDescent="0.25">
      <c r="A82" s="8"/>
      <c r="B82" s="84"/>
      <c r="E82" s="81"/>
      <c r="F82" s="84"/>
    </row>
    <row r="83" spans="1:6" x14ac:dyDescent="0.25">
      <c r="A83" s="8"/>
      <c r="B83" s="84"/>
      <c r="E83" s="81"/>
      <c r="F83" s="84"/>
    </row>
    <row r="84" spans="1:6" x14ac:dyDescent="0.25">
      <c r="A84" s="8"/>
      <c r="B84" s="84"/>
      <c r="E84" s="81"/>
      <c r="F84" s="84"/>
    </row>
    <row r="85" spans="1:6" x14ac:dyDescent="0.25">
      <c r="A85" s="8"/>
      <c r="B85" s="84"/>
      <c r="E85" s="81"/>
      <c r="F85" s="84"/>
    </row>
    <row r="86" spans="1:6" x14ac:dyDescent="0.25">
      <c r="A86" s="8"/>
      <c r="B86" s="84"/>
      <c r="E86" s="81"/>
      <c r="F86" s="84"/>
    </row>
    <row r="87" spans="1:6" x14ac:dyDescent="0.25">
      <c r="A87" s="8"/>
      <c r="B87" s="84"/>
      <c r="E87" s="81"/>
      <c r="F87" s="84"/>
    </row>
    <row r="88" spans="1:6" x14ac:dyDescent="0.25">
      <c r="A88" s="8"/>
      <c r="B88" s="84"/>
      <c r="E88" s="81"/>
      <c r="F88" s="84"/>
    </row>
    <row r="89" spans="1:6" x14ac:dyDescent="0.25">
      <c r="A89" s="8"/>
      <c r="B89" s="84"/>
      <c r="E89" s="81"/>
      <c r="F89" s="84"/>
    </row>
    <row r="90" spans="1:6" x14ac:dyDescent="0.25">
      <c r="B90" s="84"/>
      <c r="E90" s="81"/>
      <c r="F90" s="84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27"/>
  <sheetViews>
    <sheetView workbookViewId="0">
      <selection sqref="A1:J1"/>
    </sheetView>
  </sheetViews>
  <sheetFormatPr defaultRowHeight="15.75" x14ac:dyDescent="0.25"/>
  <cols>
    <col min="1" max="1" width="18.7109375" style="60" customWidth="1"/>
    <col min="2" max="2" width="11.7109375" style="60" customWidth="1"/>
    <col min="3" max="3" width="9.85546875" style="60" customWidth="1"/>
    <col min="4" max="4" width="14.42578125" style="60" customWidth="1"/>
    <col min="5" max="5" width="15.140625" style="60" customWidth="1"/>
    <col min="6" max="6" width="15.7109375" style="60" customWidth="1"/>
    <col min="7" max="7" width="13.140625" style="60" customWidth="1"/>
    <col min="8" max="8" width="15.28515625" style="60" customWidth="1"/>
    <col min="9" max="9" width="13.85546875" style="60" customWidth="1"/>
    <col min="10" max="10" width="17.5703125" style="60" customWidth="1"/>
    <col min="11" max="16384" width="9.140625" style="60"/>
  </cols>
  <sheetData>
    <row r="1" spans="1:12" s="57" customFormat="1" ht="63" customHeight="1" thickBot="1" x14ac:dyDescent="0.3">
      <c r="A1" s="1029" t="s">
        <v>426</v>
      </c>
      <c r="B1" s="1029"/>
      <c r="C1" s="1029"/>
      <c r="D1" s="1029"/>
      <c r="E1" s="1029"/>
      <c r="F1" s="1029"/>
      <c r="G1" s="1029"/>
      <c r="H1" s="1029"/>
      <c r="I1" s="1029"/>
      <c r="J1" s="1029"/>
    </row>
    <row r="2" spans="1:12" s="58" customFormat="1" ht="120" customHeight="1" thickBot="1" x14ac:dyDescent="0.3">
      <c r="A2" s="231" t="s">
        <v>47</v>
      </c>
      <c r="B2" s="234" t="s">
        <v>163</v>
      </c>
      <c r="C2" s="232" t="s">
        <v>164</v>
      </c>
      <c r="D2" s="232" t="s">
        <v>165</v>
      </c>
      <c r="E2" s="232" t="s">
        <v>166</v>
      </c>
      <c r="F2" s="232" t="s">
        <v>167</v>
      </c>
      <c r="G2" s="232" t="s">
        <v>168</v>
      </c>
      <c r="H2" s="232" t="s">
        <v>169</v>
      </c>
      <c r="I2" s="232" t="s">
        <v>170</v>
      </c>
      <c r="J2" s="233" t="s">
        <v>171</v>
      </c>
    </row>
    <row r="3" spans="1:12" x14ac:dyDescent="0.25">
      <c r="A3" s="274" t="s">
        <v>25</v>
      </c>
      <c r="B3" s="271">
        <v>243</v>
      </c>
      <c r="C3" s="256">
        <f>149-1</f>
        <v>148</v>
      </c>
      <c r="D3" s="256">
        <f>E3-C3</f>
        <v>211</v>
      </c>
      <c r="E3" s="256">
        <v>359</v>
      </c>
      <c r="F3" s="257">
        <f>E3/$E$23</f>
        <v>0.25034867503486752</v>
      </c>
      <c r="G3" s="358">
        <v>1740275</v>
      </c>
      <c r="H3" s="256">
        <v>329321</v>
      </c>
      <c r="I3" s="258">
        <f>G3+H3</f>
        <v>2069596</v>
      </c>
      <c r="J3" s="259">
        <f>I3/$I$23</f>
        <v>0.22352057465721506</v>
      </c>
      <c r="K3" s="59"/>
      <c r="L3" s="59"/>
    </row>
    <row r="4" spans="1:12" x14ac:dyDescent="0.25">
      <c r="A4" s="275" t="s">
        <v>33</v>
      </c>
      <c r="B4" s="272">
        <v>86</v>
      </c>
      <c r="C4" s="226">
        <v>29</v>
      </c>
      <c r="D4" s="256">
        <f t="shared" ref="D4:D22" si="0">E4-C4</f>
        <v>71</v>
      </c>
      <c r="E4" s="226">
        <v>100</v>
      </c>
      <c r="F4" s="227">
        <f t="shared" ref="F4:F22" si="1">E4/$E$23</f>
        <v>6.9735006973500699E-2</v>
      </c>
      <c r="G4" s="359">
        <v>516071</v>
      </c>
      <c r="H4" s="226">
        <v>156705</v>
      </c>
      <c r="I4" s="228">
        <f t="shared" ref="I4:I22" si="2">G4+H4</f>
        <v>672776</v>
      </c>
      <c r="J4" s="255">
        <f t="shared" ref="J4:J22" si="3">I4/$I$23</f>
        <v>7.2661175483322599E-2</v>
      </c>
      <c r="K4" s="59"/>
      <c r="L4" s="59"/>
    </row>
    <row r="5" spans="1:12" x14ac:dyDescent="0.25">
      <c r="A5" s="275" t="s">
        <v>31</v>
      </c>
      <c r="B5" s="272">
        <v>56</v>
      </c>
      <c r="C5" s="226">
        <v>19</v>
      </c>
      <c r="D5" s="256">
        <f t="shared" si="0"/>
        <v>35</v>
      </c>
      <c r="E5" s="226">
        <v>54</v>
      </c>
      <c r="F5" s="227">
        <f t="shared" si="1"/>
        <v>3.7656903765690378E-2</v>
      </c>
      <c r="G5" s="359">
        <v>147532</v>
      </c>
      <c r="H5" s="226">
        <v>31541</v>
      </c>
      <c r="I5" s="228">
        <f t="shared" si="2"/>
        <v>179073</v>
      </c>
      <c r="J5" s="255">
        <f t="shared" si="3"/>
        <v>1.9340247983467049E-2</v>
      </c>
      <c r="K5" s="59"/>
      <c r="L5" s="59"/>
    </row>
    <row r="6" spans="1:12" x14ac:dyDescent="0.25">
      <c r="A6" s="275" t="s">
        <v>36</v>
      </c>
      <c r="B6" s="272">
        <v>14</v>
      </c>
      <c r="C6" s="226">
        <v>6</v>
      </c>
      <c r="D6" s="256">
        <f t="shared" si="0"/>
        <v>4</v>
      </c>
      <c r="E6" s="226">
        <v>10</v>
      </c>
      <c r="F6" s="227">
        <f t="shared" si="1"/>
        <v>6.9735006973500697E-3</v>
      </c>
      <c r="G6" s="359">
        <v>34800</v>
      </c>
      <c r="H6" s="226">
        <v>8398</v>
      </c>
      <c r="I6" s="228">
        <f t="shared" si="2"/>
        <v>43198</v>
      </c>
      <c r="J6" s="255">
        <f t="shared" si="3"/>
        <v>4.6654718041793551E-3</v>
      </c>
      <c r="K6" s="59"/>
      <c r="L6" s="59"/>
    </row>
    <row r="7" spans="1:12" x14ac:dyDescent="0.25">
      <c r="A7" s="275" t="s">
        <v>111</v>
      </c>
      <c r="B7" s="272">
        <v>35</v>
      </c>
      <c r="C7" s="226">
        <v>19</v>
      </c>
      <c r="D7" s="256">
        <f t="shared" si="0"/>
        <v>31</v>
      </c>
      <c r="E7" s="226">
        <v>50</v>
      </c>
      <c r="F7" s="227">
        <f t="shared" si="1"/>
        <v>3.4867503486750349E-2</v>
      </c>
      <c r="G7" s="359">
        <v>368173</v>
      </c>
      <c r="H7" s="226">
        <v>92337</v>
      </c>
      <c r="I7" s="228">
        <f t="shared" si="2"/>
        <v>460510</v>
      </c>
      <c r="J7" s="255">
        <f t="shared" si="3"/>
        <v>4.973601603182172E-2</v>
      </c>
      <c r="K7" s="59"/>
      <c r="L7" s="59"/>
    </row>
    <row r="8" spans="1:12" x14ac:dyDescent="0.25">
      <c r="A8" s="275" t="s">
        <v>30</v>
      </c>
      <c r="B8" s="272">
        <v>40</v>
      </c>
      <c r="C8" s="226">
        <v>20</v>
      </c>
      <c r="D8" s="256">
        <f t="shared" si="0"/>
        <v>23</v>
      </c>
      <c r="E8" s="226">
        <v>43</v>
      </c>
      <c r="F8" s="227">
        <f t="shared" si="1"/>
        <v>2.9986052998605298E-2</v>
      </c>
      <c r="G8" s="359">
        <v>161745</v>
      </c>
      <c r="H8" s="226">
        <v>17464</v>
      </c>
      <c r="I8" s="228">
        <f t="shared" si="2"/>
        <v>179209</v>
      </c>
      <c r="J8" s="255">
        <f t="shared" si="3"/>
        <v>1.935493625990041E-2</v>
      </c>
      <c r="K8" s="59"/>
      <c r="L8" s="59"/>
    </row>
    <row r="9" spans="1:12" ht="27.75" customHeight="1" x14ac:dyDescent="0.25">
      <c r="A9" s="275" t="s">
        <v>172</v>
      </c>
      <c r="B9" s="272">
        <v>57</v>
      </c>
      <c r="C9" s="226">
        <v>24</v>
      </c>
      <c r="D9" s="256">
        <f t="shared" si="0"/>
        <v>37</v>
      </c>
      <c r="E9" s="226">
        <v>61</v>
      </c>
      <c r="F9" s="227">
        <f t="shared" si="1"/>
        <v>4.2538354253835425E-2</v>
      </c>
      <c r="G9" s="359">
        <v>161043</v>
      </c>
      <c r="H9" s="226">
        <v>6334</v>
      </c>
      <c r="I9" s="228">
        <f t="shared" si="2"/>
        <v>167377</v>
      </c>
      <c r="J9" s="255">
        <f t="shared" si="3"/>
        <v>1.8077056210197878E-2</v>
      </c>
      <c r="K9" s="59"/>
      <c r="L9" s="59"/>
    </row>
    <row r="10" spans="1:12" x14ac:dyDescent="0.25">
      <c r="A10" s="275" t="s">
        <v>34</v>
      </c>
      <c r="B10" s="272">
        <v>40</v>
      </c>
      <c r="C10" s="226">
        <v>17</v>
      </c>
      <c r="D10" s="256">
        <f t="shared" si="0"/>
        <v>32</v>
      </c>
      <c r="E10" s="226">
        <v>49</v>
      </c>
      <c r="F10" s="227">
        <f t="shared" si="1"/>
        <v>3.4170153417015341E-2</v>
      </c>
      <c r="G10" s="359">
        <v>192104</v>
      </c>
      <c r="H10" s="226">
        <v>13528</v>
      </c>
      <c r="I10" s="228">
        <f t="shared" si="2"/>
        <v>205632</v>
      </c>
      <c r="J10" s="255">
        <f t="shared" si="3"/>
        <v>2.2208673967244064E-2</v>
      </c>
      <c r="K10" s="59"/>
      <c r="L10" s="59"/>
    </row>
    <row r="11" spans="1:12" x14ac:dyDescent="0.25">
      <c r="A11" s="275" t="s">
        <v>26</v>
      </c>
      <c r="B11" s="272">
        <v>150</v>
      </c>
      <c r="C11" s="226">
        <f>86-3</f>
        <v>83</v>
      </c>
      <c r="D11" s="256">
        <f t="shared" si="0"/>
        <v>141</v>
      </c>
      <c r="E11" s="226">
        <v>224</v>
      </c>
      <c r="F11" s="227">
        <f t="shared" si="1"/>
        <v>0.15620641562064155</v>
      </c>
      <c r="G11" s="359">
        <v>1544040</v>
      </c>
      <c r="H11" s="226">
        <v>516255</v>
      </c>
      <c r="I11" s="228">
        <f t="shared" si="2"/>
        <v>2060295</v>
      </c>
      <c r="J11" s="255">
        <f t="shared" si="3"/>
        <v>0.22251604775201869</v>
      </c>
      <c r="K11" s="59"/>
      <c r="L11" s="59"/>
    </row>
    <row r="12" spans="1:12" x14ac:dyDescent="0.25">
      <c r="A12" s="275" t="s">
        <v>27</v>
      </c>
      <c r="B12" s="272">
        <v>130</v>
      </c>
      <c r="C12" s="226">
        <v>50</v>
      </c>
      <c r="D12" s="256">
        <f t="shared" si="0"/>
        <v>74</v>
      </c>
      <c r="E12" s="226">
        <v>124</v>
      </c>
      <c r="F12" s="227">
        <f t="shared" si="1"/>
        <v>8.6471408647140868E-2</v>
      </c>
      <c r="G12" s="359">
        <v>664128</v>
      </c>
      <c r="H12" s="226">
        <v>253232</v>
      </c>
      <c r="I12" s="228">
        <f t="shared" si="2"/>
        <v>917360</v>
      </c>
      <c r="J12" s="255">
        <f t="shared" si="3"/>
        <v>9.9076744624333829E-2</v>
      </c>
      <c r="K12" s="59"/>
      <c r="L12" s="59"/>
    </row>
    <row r="13" spans="1:12" x14ac:dyDescent="0.25">
      <c r="A13" s="275" t="s">
        <v>49</v>
      </c>
      <c r="B13" s="272">
        <v>104</v>
      </c>
      <c r="C13" s="226">
        <v>37</v>
      </c>
      <c r="D13" s="256">
        <f t="shared" si="0"/>
        <v>77</v>
      </c>
      <c r="E13" s="226">
        <v>114</v>
      </c>
      <c r="F13" s="227">
        <f t="shared" si="1"/>
        <v>7.9497907949790794E-2</v>
      </c>
      <c r="G13" s="359">
        <v>602205</v>
      </c>
      <c r="H13" s="226">
        <v>229311</v>
      </c>
      <c r="I13" s="228">
        <f t="shared" si="2"/>
        <v>831516</v>
      </c>
      <c r="J13" s="255">
        <f t="shared" si="3"/>
        <v>8.9805418137969356E-2</v>
      </c>
      <c r="K13" s="59"/>
      <c r="L13" s="59"/>
    </row>
    <row r="14" spans="1:12" x14ac:dyDescent="0.25">
      <c r="A14" s="275" t="s">
        <v>386</v>
      </c>
      <c r="B14" s="272">
        <v>19</v>
      </c>
      <c r="C14" s="226">
        <v>4</v>
      </c>
      <c r="D14" s="256">
        <f t="shared" si="0"/>
        <v>4</v>
      </c>
      <c r="E14" s="226">
        <v>8</v>
      </c>
      <c r="F14" s="227">
        <f t="shared" si="1"/>
        <v>5.5788005578800556E-3</v>
      </c>
      <c r="G14" s="359">
        <v>46831</v>
      </c>
      <c r="H14" s="226">
        <v>12420</v>
      </c>
      <c r="I14" s="228">
        <f t="shared" si="2"/>
        <v>59251</v>
      </c>
      <c r="J14" s="255">
        <f t="shared" si="3"/>
        <v>6.3992284334791179E-3</v>
      </c>
      <c r="K14" s="59"/>
      <c r="L14" s="59"/>
    </row>
    <row r="15" spans="1:12" x14ac:dyDescent="0.25">
      <c r="A15" s="275" t="s">
        <v>29</v>
      </c>
      <c r="B15" s="272">
        <v>53</v>
      </c>
      <c r="C15" s="226">
        <v>29</v>
      </c>
      <c r="D15" s="256">
        <f t="shared" si="0"/>
        <v>41</v>
      </c>
      <c r="E15" s="226">
        <v>70</v>
      </c>
      <c r="F15" s="227">
        <f t="shared" si="1"/>
        <v>4.8814504881450491E-2</v>
      </c>
      <c r="G15" s="359">
        <v>204194</v>
      </c>
      <c r="H15" s="226">
        <v>45486</v>
      </c>
      <c r="I15" s="228">
        <f t="shared" si="2"/>
        <v>249680</v>
      </c>
      <c r="J15" s="255">
        <f t="shared" si="3"/>
        <v>2.6965947499131934E-2</v>
      </c>
      <c r="K15" s="59"/>
      <c r="L15" s="59"/>
    </row>
    <row r="16" spans="1:12" x14ac:dyDescent="0.25">
      <c r="A16" s="275" t="s">
        <v>32</v>
      </c>
      <c r="B16" s="272">
        <v>55</v>
      </c>
      <c r="C16" s="226">
        <v>29</v>
      </c>
      <c r="D16" s="256">
        <f t="shared" si="0"/>
        <v>63</v>
      </c>
      <c r="E16" s="226">
        <v>92</v>
      </c>
      <c r="F16" s="227">
        <f t="shared" si="1"/>
        <v>6.4156206415620642E-2</v>
      </c>
      <c r="G16" s="359">
        <v>488362</v>
      </c>
      <c r="H16" s="226">
        <v>158929</v>
      </c>
      <c r="I16" s="228">
        <f t="shared" si="2"/>
        <v>647291</v>
      </c>
      <c r="J16" s="255">
        <f t="shared" si="3"/>
        <v>6.9908743682556104E-2</v>
      </c>
      <c r="K16" s="59"/>
      <c r="L16" s="59"/>
    </row>
    <row r="17" spans="1:12" x14ac:dyDescent="0.25">
      <c r="A17" s="275" t="s">
        <v>38</v>
      </c>
      <c r="B17" s="272">
        <v>33</v>
      </c>
      <c r="C17" s="226">
        <v>15</v>
      </c>
      <c r="D17" s="256">
        <f t="shared" si="0"/>
        <v>42</v>
      </c>
      <c r="E17" s="226">
        <v>57</v>
      </c>
      <c r="F17" s="227">
        <f t="shared" si="1"/>
        <v>3.9748953974895397E-2</v>
      </c>
      <c r="G17" s="359">
        <v>352901</v>
      </c>
      <c r="H17" s="226">
        <v>105071</v>
      </c>
      <c r="I17" s="228">
        <f t="shared" si="2"/>
        <v>457972</v>
      </c>
      <c r="J17" s="255">
        <f t="shared" si="3"/>
        <v>4.9461906873087352E-2</v>
      </c>
      <c r="K17" s="59"/>
      <c r="L17" s="59"/>
    </row>
    <row r="18" spans="1:12" x14ac:dyDescent="0.25">
      <c r="A18" s="275" t="s">
        <v>43</v>
      </c>
      <c r="B18" s="272">
        <v>1</v>
      </c>
      <c r="C18" s="226">
        <v>0</v>
      </c>
      <c r="D18" s="256">
        <f t="shared" si="0"/>
        <v>2</v>
      </c>
      <c r="E18" s="226">
        <v>2</v>
      </c>
      <c r="F18" s="227">
        <f t="shared" si="1"/>
        <v>1.3947001394700139E-3</v>
      </c>
      <c r="G18" s="359">
        <v>4088</v>
      </c>
      <c r="H18" s="226">
        <v>1644</v>
      </c>
      <c r="I18" s="228">
        <f t="shared" si="2"/>
        <v>5732</v>
      </c>
      <c r="J18" s="255">
        <f t="shared" si="3"/>
        <v>6.1906765085318911E-4</v>
      </c>
      <c r="K18" s="59"/>
      <c r="L18" s="59"/>
    </row>
    <row r="19" spans="1:12" x14ac:dyDescent="0.25">
      <c r="A19" s="275" t="s">
        <v>45</v>
      </c>
      <c r="B19" s="272">
        <v>0</v>
      </c>
      <c r="C19" s="226">
        <v>0</v>
      </c>
      <c r="D19" s="256">
        <f t="shared" si="0"/>
        <v>0</v>
      </c>
      <c r="E19" s="226">
        <v>0</v>
      </c>
      <c r="F19" s="227">
        <f t="shared" si="1"/>
        <v>0</v>
      </c>
      <c r="G19" s="359">
        <v>0</v>
      </c>
      <c r="H19" s="226">
        <v>0</v>
      </c>
      <c r="I19" s="228">
        <f t="shared" si="2"/>
        <v>0</v>
      </c>
      <c r="J19" s="255">
        <f t="shared" si="3"/>
        <v>0</v>
      </c>
      <c r="K19" s="59"/>
      <c r="L19" s="59"/>
    </row>
    <row r="20" spans="1:12" x14ac:dyDescent="0.25">
      <c r="A20" s="275" t="s">
        <v>173</v>
      </c>
      <c r="B20" s="272">
        <v>0</v>
      </c>
      <c r="C20" s="226">
        <v>0</v>
      </c>
      <c r="D20" s="256">
        <f t="shared" si="0"/>
        <v>0</v>
      </c>
      <c r="E20" s="226">
        <v>0</v>
      </c>
      <c r="F20" s="227">
        <f t="shared" si="1"/>
        <v>0</v>
      </c>
      <c r="G20" s="359">
        <v>0</v>
      </c>
      <c r="H20" s="226">
        <v>0</v>
      </c>
      <c r="I20" s="228">
        <f t="shared" si="2"/>
        <v>0</v>
      </c>
      <c r="J20" s="255">
        <f t="shared" si="3"/>
        <v>0</v>
      </c>
      <c r="K20" s="59"/>
      <c r="L20" s="59"/>
    </row>
    <row r="21" spans="1:12" x14ac:dyDescent="0.25">
      <c r="A21" s="275" t="s">
        <v>35</v>
      </c>
      <c r="B21" s="272">
        <v>23</v>
      </c>
      <c r="C21" s="226">
        <v>5</v>
      </c>
      <c r="D21" s="256">
        <f t="shared" si="0"/>
        <v>9</v>
      </c>
      <c r="E21" s="226">
        <v>14</v>
      </c>
      <c r="F21" s="227">
        <f t="shared" si="1"/>
        <v>9.7629009762900971E-3</v>
      </c>
      <c r="G21" s="359">
        <v>34420</v>
      </c>
      <c r="H21" s="226">
        <v>10984</v>
      </c>
      <c r="I21" s="228">
        <f t="shared" si="2"/>
        <v>45404</v>
      </c>
      <c r="J21" s="255">
        <f t="shared" si="3"/>
        <v>4.9037242880911021E-3</v>
      </c>
      <c r="K21" s="59"/>
      <c r="L21" s="59"/>
    </row>
    <row r="22" spans="1:12" ht="16.5" thickBot="1" x14ac:dyDescent="0.3">
      <c r="A22" s="276" t="s">
        <v>42</v>
      </c>
      <c r="B22" s="273">
        <v>8</v>
      </c>
      <c r="C22" s="260">
        <v>1</v>
      </c>
      <c r="D22" s="256">
        <f t="shared" si="0"/>
        <v>2</v>
      </c>
      <c r="E22" s="260">
        <v>3</v>
      </c>
      <c r="F22" s="261">
        <f t="shared" si="1"/>
        <v>2.0920502092050207E-3</v>
      </c>
      <c r="G22" s="360">
        <v>7213</v>
      </c>
      <c r="H22" s="260">
        <v>0</v>
      </c>
      <c r="I22" s="262">
        <f t="shared" si="2"/>
        <v>7213</v>
      </c>
      <c r="J22" s="263">
        <f t="shared" si="3"/>
        <v>7.7901866113120244E-4</v>
      </c>
      <c r="K22" s="59"/>
      <c r="L22" s="59"/>
    </row>
    <row r="23" spans="1:12" s="62" customFormat="1" ht="16.5" thickBot="1" x14ac:dyDescent="0.3">
      <c r="A23" s="264" t="s">
        <v>18</v>
      </c>
      <c r="B23" s="265">
        <f t="shared" ref="B23:J23" si="4">SUM(B3:B22)</f>
        <v>1147</v>
      </c>
      <c r="C23" s="265">
        <f t="shared" si="4"/>
        <v>535</v>
      </c>
      <c r="D23" s="265">
        <f t="shared" si="4"/>
        <v>899</v>
      </c>
      <c r="E23" s="265">
        <f t="shared" si="4"/>
        <v>1434</v>
      </c>
      <c r="F23" s="266">
        <f t="shared" si="4"/>
        <v>0.99999999999999989</v>
      </c>
      <c r="G23" s="267">
        <f t="shared" si="4"/>
        <v>7270125</v>
      </c>
      <c r="H23" s="267">
        <f t="shared" si="4"/>
        <v>1988960</v>
      </c>
      <c r="I23" s="268">
        <f t="shared" si="4"/>
        <v>9259085</v>
      </c>
      <c r="J23" s="269">
        <f t="shared" si="4"/>
        <v>0.99999999999999989</v>
      </c>
      <c r="K23" s="61"/>
      <c r="L23" s="61"/>
    </row>
    <row r="24" spans="1:12" x14ac:dyDescent="0.25">
      <c r="A24" s="1030" t="s">
        <v>375</v>
      </c>
      <c r="B24" s="1030"/>
      <c r="C24" s="1030"/>
      <c r="D24" s="1030"/>
      <c r="E24" s="361"/>
      <c r="F24" s="361"/>
      <c r="G24" s="361"/>
      <c r="H24" s="361"/>
      <c r="I24" s="361"/>
      <c r="J24" s="460" t="s">
        <v>497</v>
      </c>
    </row>
    <row r="25" spans="1:12" x14ac:dyDescent="0.25">
      <c r="E25" s="361"/>
      <c r="F25" s="361"/>
      <c r="G25" s="361"/>
      <c r="H25" s="361"/>
      <c r="I25" s="361"/>
      <c r="J25" s="361"/>
    </row>
    <row r="27" spans="1:12" x14ac:dyDescent="0.25">
      <c r="A27" s="362"/>
      <c r="B27" s="363"/>
    </row>
  </sheetData>
  <mergeCells count="2">
    <mergeCell ref="A1:J1"/>
    <mergeCell ref="A24:D24"/>
  </mergeCells>
  <pageMargins left="0.70866141732283472" right="0.11811023622047245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18"/>
  <sheetViews>
    <sheetView workbookViewId="0">
      <selection sqref="A1:G1"/>
    </sheetView>
  </sheetViews>
  <sheetFormatPr defaultRowHeight="15.75" x14ac:dyDescent="0.25"/>
  <cols>
    <col min="1" max="1" width="55.7109375" style="63" customWidth="1"/>
    <col min="2" max="2" width="14.42578125" style="63" customWidth="1"/>
    <col min="3" max="3" width="16.28515625" style="63" customWidth="1"/>
    <col min="4" max="4" width="14.85546875" style="63" customWidth="1"/>
    <col min="5" max="5" width="15.7109375" style="63" customWidth="1"/>
    <col min="6" max="6" width="14.7109375" style="63" customWidth="1"/>
    <col min="7" max="7" width="16.7109375" style="63" customWidth="1"/>
    <col min="8" max="9" width="13.140625" style="63" bestFit="1" customWidth="1"/>
    <col min="10" max="16384" width="9.140625" style="63"/>
  </cols>
  <sheetData>
    <row r="1" spans="1:9" ht="57" customHeight="1" thickBot="1" x14ac:dyDescent="0.3">
      <c r="A1" s="1031" t="s">
        <v>541</v>
      </c>
      <c r="B1" s="1031"/>
      <c r="C1" s="1031"/>
      <c r="D1" s="1031"/>
      <c r="E1" s="1031"/>
      <c r="F1" s="1031"/>
      <c r="G1" s="1031"/>
    </row>
    <row r="2" spans="1:9" ht="99" customHeight="1" thickBot="1" x14ac:dyDescent="0.3">
      <c r="A2" s="281" t="s">
        <v>174</v>
      </c>
      <c r="B2" s="282" t="s">
        <v>175</v>
      </c>
      <c r="C2" s="238" t="s">
        <v>176</v>
      </c>
      <c r="D2" s="283" t="s">
        <v>168</v>
      </c>
      <c r="E2" s="283" t="s">
        <v>169</v>
      </c>
      <c r="F2" s="238" t="s">
        <v>177</v>
      </c>
      <c r="G2" s="239" t="s">
        <v>178</v>
      </c>
    </row>
    <row r="3" spans="1:9" ht="30" x14ac:dyDescent="0.25">
      <c r="A3" s="575" t="s">
        <v>179</v>
      </c>
      <c r="B3" s="278">
        <v>81</v>
      </c>
      <c r="C3" s="279">
        <f>B3/$B$16</f>
        <v>5.6485355648535567E-2</v>
      </c>
      <c r="D3" s="280">
        <v>390108</v>
      </c>
      <c r="E3" s="280">
        <v>103264</v>
      </c>
      <c r="F3" s="280">
        <f>D3+E3</f>
        <v>493372</v>
      </c>
      <c r="G3" s="284">
        <f>F3/$F$16</f>
        <v>5.3285178827065523E-2</v>
      </c>
      <c r="H3" s="64"/>
      <c r="I3" s="64"/>
    </row>
    <row r="4" spans="1:9" ht="30" x14ac:dyDescent="0.25">
      <c r="A4" s="576" t="s">
        <v>180</v>
      </c>
      <c r="B4" s="277">
        <v>88</v>
      </c>
      <c r="C4" s="230">
        <f t="shared" ref="C4:C15" si="0">B4/$B$16</f>
        <v>6.1366806136680614E-2</v>
      </c>
      <c r="D4" s="229">
        <v>425309</v>
      </c>
      <c r="E4" s="229">
        <v>79266</v>
      </c>
      <c r="F4" s="229">
        <f t="shared" ref="F4:F15" si="1">D4+E4</f>
        <v>504575</v>
      </c>
      <c r="G4" s="285">
        <f t="shared" ref="G4:G15" si="2">F4/$F$16</f>
        <v>5.4495125598263756E-2</v>
      </c>
      <c r="H4" s="64"/>
      <c r="I4" s="64"/>
    </row>
    <row r="5" spans="1:9" ht="30" x14ac:dyDescent="0.25">
      <c r="A5" s="576" t="s">
        <v>604</v>
      </c>
      <c r="B5" s="277">
        <f>76-3</f>
        <v>73</v>
      </c>
      <c r="C5" s="230">
        <f t="shared" si="0"/>
        <v>5.090655509065551E-2</v>
      </c>
      <c r="D5" s="229">
        <v>507642</v>
      </c>
      <c r="E5" s="229">
        <v>153109</v>
      </c>
      <c r="F5" s="229">
        <f t="shared" si="1"/>
        <v>660751</v>
      </c>
      <c r="G5" s="285">
        <f t="shared" si="2"/>
        <v>7.1362451041328601E-2</v>
      </c>
      <c r="H5" s="64"/>
      <c r="I5" s="64"/>
    </row>
    <row r="6" spans="1:9" x14ac:dyDescent="0.25">
      <c r="A6" s="576" t="s">
        <v>605</v>
      </c>
      <c r="B6" s="277">
        <v>67</v>
      </c>
      <c r="C6" s="230">
        <f t="shared" si="0"/>
        <v>4.6722454672245464E-2</v>
      </c>
      <c r="D6" s="229">
        <v>421501</v>
      </c>
      <c r="E6" s="229">
        <v>110518</v>
      </c>
      <c r="F6" s="229">
        <f t="shared" si="1"/>
        <v>532019</v>
      </c>
      <c r="G6" s="285">
        <f t="shared" si="2"/>
        <v>5.7459133380890232E-2</v>
      </c>
      <c r="H6" s="64"/>
      <c r="I6" s="64"/>
    </row>
    <row r="7" spans="1:9" ht="45" x14ac:dyDescent="0.25">
      <c r="A7" s="576" t="s">
        <v>181</v>
      </c>
      <c r="B7" s="277">
        <v>100</v>
      </c>
      <c r="C7" s="230">
        <f t="shared" si="0"/>
        <v>6.9735006973500699E-2</v>
      </c>
      <c r="D7" s="229">
        <v>805925</v>
      </c>
      <c r="E7" s="229">
        <v>256744</v>
      </c>
      <c r="F7" s="229">
        <f t="shared" si="1"/>
        <v>1062669</v>
      </c>
      <c r="G7" s="285">
        <f t="shared" si="2"/>
        <v>0.11477041197915344</v>
      </c>
      <c r="H7" s="64"/>
      <c r="I7" s="64"/>
    </row>
    <row r="8" spans="1:9" ht="48" customHeight="1" x14ac:dyDescent="0.25">
      <c r="A8" s="576" t="s">
        <v>606</v>
      </c>
      <c r="B8" s="277">
        <v>99</v>
      </c>
      <c r="C8" s="230">
        <f t="shared" si="0"/>
        <v>6.903765690376569E-2</v>
      </c>
      <c r="D8" s="229">
        <v>541231</v>
      </c>
      <c r="E8" s="229">
        <v>195159</v>
      </c>
      <c r="F8" s="229">
        <f t="shared" si="1"/>
        <v>736390</v>
      </c>
      <c r="G8" s="285">
        <f t="shared" si="2"/>
        <v>7.9531616785027889E-2</v>
      </c>
      <c r="H8" s="64"/>
      <c r="I8" s="64"/>
    </row>
    <row r="9" spans="1:9" ht="45" x14ac:dyDescent="0.25">
      <c r="A9" s="576" t="s">
        <v>607</v>
      </c>
      <c r="B9" s="277">
        <v>160</v>
      </c>
      <c r="C9" s="230">
        <f t="shared" si="0"/>
        <v>0.11157601115760112</v>
      </c>
      <c r="D9" s="229">
        <v>975513</v>
      </c>
      <c r="E9" s="229">
        <v>419113</v>
      </c>
      <c r="F9" s="229">
        <f t="shared" si="1"/>
        <v>1394626</v>
      </c>
      <c r="G9" s="285">
        <f t="shared" si="2"/>
        <v>0.15062244271437189</v>
      </c>
      <c r="H9" s="64"/>
      <c r="I9" s="64"/>
    </row>
    <row r="10" spans="1:9" ht="30" x14ac:dyDescent="0.25">
      <c r="A10" s="576" t="s">
        <v>182</v>
      </c>
      <c r="B10" s="277">
        <v>188</v>
      </c>
      <c r="C10" s="230">
        <f t="shared" si="0"/>
        <v>0.13110181311018132</v>
      </c>
      <c r="D10" s="229">
        <v>1225353</v>
      </c>
      <c r="E10" s="229">
        <v>360558</v>
      </c>
      <c r="F10" s="229">
        <f t="shared" si="1"/>
        <v>1585911</v>
      </c>
      <c r="G10" s="285">
        <f t="shared" si="2"/>
        <v>0.17128161151992879</v>
      </c>
      <c r="H10" s="64"/>
      <c r="I10" s="64"/>
    </row>
    <row r="11" spans="1:9" ht="21" customHeight="1" x14ac:dyDescent="0.25">
      <c r="A11" s="576" t="s">
        <v>183</v>
      </c>
      <c r="B11" s="277">
        <f>130-1</f>
        <v>129</v>
      </c>
      <c r="C11" s="230">
        <f t="shared" si="0"/>
        <v>8.9958158995815898E-2</v>
      </c>
      <c r="D11" s="229">
        <v>704412</v>
      </c>
      <c r="E11" s="229">
        <v>157380</v>
      </c>
      <c r="F11" s="229">
        <f t="shared" si="1"/>
        <v>861792</v>
      </c>
      <c r="G11" s="285">
        <f t="shared" si="2"/>
        <v>9.3075287676914073E-2</v>
      </c>
      <c r="H11" s="64"/>
      <c r="I11" s="64"/>
    </row>
    <row r="12" spans="1:9" ht="30" x14ac:dyDescent="0.25">
      <c r="A12" s="577" t="s">
        <v>184</v>
      </c>
      <c r="B12" s="277">
        <v>110</v>
      </c>
      <c r="C12" s="230">
        <f t="shared" si="0"/>
        <v>7.6708507670850773E-2</v>
      </c>
      <c r="D12" s="229">
        <v>282732</v>
      </c>
      <c r="E12" s="229">
        <v>40228</v>
      </c>
      <c r="F12" s="229">
        <f t="shared" si="1"/>
        <v>322960</v>
      </c>
      <c r="G12" s="285">
        <f t="shared" si="2"/>
        <v>3.4880336447931953E-2</v>
      </c>
      <c r="H12" s="64"/>
      <c r="I12" s="64"/>
    </row>
    <row r="13" spans="1:9" ht="30" x14ac:dyDescent="0.25">
      <c r="A13" s="576" t="s">
        <v>185</v>
      </c>
      <c r="B13" s="277">
        <v>79</v>
      </c>
      <c r="C13" s="230">
        <f t="shared" si="0"/>
        <v>5.5090655509065549E-2</v>
      </c>
      <c r="D13" s="229">
        <v>209348</v>
      </c>
      <c r="E13" s="229">
        <v>20420</v>
      </c>
      <c r="F13" s="229">
        <f t="shared" si="1"/>
        <v>229768</v>
      </c>
      <c r="G13" s="285">
        <f t="shared" si="2"/>
        <v>2.481541102603551E-2</v>
      </c>
      <c r="H13" s="64"/>
      <c r="I13" s="64"/>
    </row>
    <row r="14" spans="1:9" ht="19.5" customHeight="1" x14ac:dyDescent="0.25">
      <c r="A14" s="576" t="s">
        <v>186</v>
      </c>
      <c r="B14" s="277">
        <v>82</v>
      </c>
      <c r="C14" s="230">
        <f t="shared" si="0"/>
        <v>5.7182705718270568E-2</v>
      </c>
      <c r="D14" s="229">
        <v>224876</v>
      </c>
      <c r="E14" s="229">
        <v>27545</v>
      </c>
      <c r="F14" s="229">
        <f t="shared" si="1"/>
        <v>252421</v>
      </c>
      <c r="G14" s="285">
        <f t="shared" si="2"/>
        <v>2.7261981070483745E-2</v>
      </c>
      <c r="H14" s="64"/>
      <c r="I14" s="64"/>
    </row>
    <row r="15" spans="1:9" ht="16.5" thickBot="1" x14ac:dyDescent="0.3">
      <c r="A15" s="578" t="s">
        <v>187</v>
      </c>
      <c r="B15" s="286">
        <v>178</v>
      </c>
      <c r="C15" s="287">
        <f t="shared" si="0"/>
        <v>0.12412831241283125</v>
      </c>
      <c r="D15" s="288">
        <v>556175</v>
      </c>
      <c r="E15" s="288">
        <v>65656</v>
      </c>
      <c r="F15" s="288">
        <f t="shared" si="1"/>
        <v>621831</v>
      </c>
      <c r="G15" s="289">
        <f t="shared" si="2"/>
        <v>6.7159011932604568E-2</v>
      </c>
      <c r="H15" s="64"/>
      <c r="I15" s="64"/>
    </row>
    <row r="16" spans="1:9" ht="18" customHeight="1" thickBot="1" x14ac:dyDescent="0.3">
      <c r="A16" s="290" t="s">
        <v>18</v>
      </c>
      <c r="B16" s="291">
        <f t="shared" ref="B16:G16" si="3">SUM(B3:B15)</f>
        <v>1434</v>
      </c>
      <c r="C16" s="292">
        <f t="shared" si="3"/>
        <v>1</v>
      </c>
      <c r="D16" s="293">
        <f t="shared" si="3"/>
        <v>7270125</v>
      </c>
      <c r="E16" s="293">
        <f t="shared" si="3"/>
        <v>1988960</v>
      </c>
      <c r="F16" s="293">
        <f t="shared" si="3"/>
        <v>9259085</v>
      </c>
      <c r="G16" s="294">
        <f t="shared" si="3"/>
        <v>1</v>
      </c>
      <c r="H16" s="64"/>
      <c r="I16" s="64"/>
    </row>
    <row r="17" spans="1:7" ht="13.5" customHeight="1" x14ac:dyDescent="0.25">
      <c r="A17" s="224"/>
      <c r="B17" s="224"/>
      <c r="C17" s="224"/>
      <c r="D17" s="224"/>
      <c r="E17" s="224"/>
      <c r="F17" s="224"/>
      <c r="G17" s="460" t="s">
        <v>497</v>
      </c>
    </row>
    <row r="18" spans="1:7" x14ac:dyDescent="0.25">
      <c r="A18" s="224"/>
      <c r="B18" s="224"/>
      <c r="C18" s="224"/>
      <c r="D18" s="224"/>
      <c r="E18" s="224"/>
      <c r="F18" s="224"/>
      <c r="G18" s="224"/>
    </row>
  </sheetData>
  <mergeCells count="1">
    <mergeCell ref="A1:G1"/>
  </mergeCells>
  <pageMargins left="0.70866141732283472" right="0.11811023622047245" top="0.74803149606299213" bottom="0.55118110236220474" header="0.31496062992125984" footer="0.11811023622047245"/>
  <pageSetup paperSize="9" scale="90" fitToHeight="0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27"/>
  <sheetViews>
    <sheetView workbookViewId="0">
      <selection sqref="A1:J1"/>
    </sheetView>
  </sheetViews>
  <sheetFormatPr defaultRowHeight="15.75" x14ac:dyDescent="0.25"/>
  <cols>
    <col min="1" max="1" width="19.42578125" style="65" customWidth="1"/>
    <col min="2" max="2" width="13.140625" style="65" customWidth="1"/>
    <col min="3" max="3" width="12" style="65" customWidth="1"/>
    <col min="4" max="4" width="15.140625" style="65" customWidth="1"/>
    <col min="5" max="5" width="14.85546875" style="65" customWidth="1"/>
    <col min="6" max="6" width="14.42578125" style="65" customWidth="1"/>
    <col min="7" max="7" width="13.85546875" style="65" customWidth="1"/>
    <col min="8" max="8" width="13.5703125" style="65" customWidth="1"/>
    <col min="9" max="9" width="11" style="65" customWidth="1"/>
    <col min="10" max="10" width="14.5703125" style="65" customWidth="1"/>
    <col min="11" max="11" width="33" style="65" customWidth="1"/>
    <col min="12" max="12" width="20.28515625" style="65" bestFit="1" customWidth="1"/>
    <col min="13" max="13" width="32.140625" style="65" bestFit="1" customWidth="1"/>
    <col min="14" max="14" width="33" style="65" bestFit="1" customWidth="1"/>
    <col min="15" max="15" width="11.85546875" style="65" bestFit="1" customWidth="1"/>
    <col min="16" max="16" width="12.5703125" style="65" bestFit="1" customWidth="1"/>
    <col min="17" max="16384" width="9.140625" style="65"/>
  </cols>
  <sheetData>
    <row r="1" spans="1:12" ht="66.75" customHeight="1" thickBot="1" x14ac:dyDescent="0.3">
      <c r="A1" s="1032" t="s">
        <v>550</v>
      </c>
      <c r="B1" s="1032"/>
      <c r="C1" s="1032"/>
      <c r="D1" s="1032"/>
      <c r="E1" s="1032"/>
      <c r="F1" s="1032"/>
      <c r="G1" s="1032"/>
      <c r="H1" s="1032"/>
      <c r="I1" s="1032"/>
      <c r="J1" s="1032"/>
    </row>
    <row r="2" spans="1:12" ht="128.25" customHeight="1" thickBot="1" x14ac:dyDescent="0.3">
      <c r="A2" s="231" t="s">
        <v>47</v>
      </c>
      <c r="B2" s="234" t="s">
        <v>163</v>
      </c>
      <c r="C2" s="232" t="s">
        <v>164</v>
      </c>
      <c r="D2" s="232" t="s">
        <v>165</v>
      </c>
      <c r="E2" s="232" t="s">
        <v>166</v>
      </c>
      <c r="F2" s="233" t="s">
        <v>167</v>
      </c>
      <c r="G2" s="234" t="s">
        <v>168</v>
      </c>
      <c r="H2" s="232" t="s">
        <v>169</v>
      </c>
      <c r="I2" s="232" t="s">
        <v>170</v>
      </c>
      <c r="J2" s="233" t="s">
        <v>171</v>
      </c>
    </row>
    <row r="3" spans="1:12" x14ac:dyDescent="0.25">
      <c r="A3" s="364" t="s">
        <v>25</v>
      </c>
      <c r="B3" s="365">
        <v>82</v>
      </c>
      <c r="C3" s="366">
        <v>13</v>
      </c>
      <c r="D3" s="366">
        <v>23</v>
      </c>
      <c r="E3" s="367">
        <f>SUM(C3:D3)</f>
        <v>36</v>
      </c>
      <c r="F3" s="368">
        <f>E3/$E$23</f>
        <v>9.8092643051771122E-2</v>
      </c>
      <c r="G3" s="369">
        <v>150319</v>
      </c>
      <c r="H3" s="366">
        <v>11593</v>
      </c>
      <c r="I3" s="370">
        <f t="shared" ref="I3:I22" si="0">SUM(G3:H3)</f>
        <v>161912</v>
      </c>
      <c r="J3" s="371">
        <f>I3/$I$23</f>
        <v>6.4972712680577846E-2</v>
      </c>
      <c r="K3" s="66"/>
      <c r="L3" s="66"/>
    </row>
    <row r="4" spans="1:12" x14ac:dyDescent="0.25">
      <c r="A4" s="372" t="s">
        <v>33</v>
      </c>
      <c r="B4" s="373">
        <v>17</v>
      </c>
      <c r="C4" s="295">
        <v>6</v>
      </c>
      <c r="D4" s="295">
        <v>7</v>
      </c>
      <c r="E4" s="225">
        <f t="shared" ref="E4:E22" si="1">SUM(C4:D4)</f>
        <v>13</v>
      </c>
      <c r="F4" s="235">
        <f t="shared" ref="F4:F22" si="2">E4/$E$23</f>
        <v>3.5422343324250684E-2</v>
      </c>
      <c r="G4" s="296">
        <v>90271</v>
      </c>
      <c r="H4" s="295">
        <v>26706</v>
      </c>
      <c r="I4" s="236">
        <f t="shared" si="0"/>
        <v>116977</v>
      </c>
      <c r="J4" s="237">
        <f>I4/$I$23</f>
        <v>4.6941011235955059E-2</v>
      </c>
      <c r="K4" s="66"/>
      <c r="L4" s="66"/>
    </row>
    <row r="5" spans="1:12" x14ac:dyDescent="0.25">
      <c r="A5" s="275" t="s">
        <v>31</v>
      </c>
      <c r="B5" s="373">
        <v>47</v>
      </c>
      <c r="C5" s="295">
        <v>15</v>
      </c>
      <c r="D5" s="295">
        <v>21</v>
      </c>
      <c r="E5" s="225">
        <f t="shared" si="1"/>
        <v>36</v>
      </c>
      <c r="F5" s="235">
        <f t="shared" si="2"/>
        <v>9.8092643051771122E-2</v>
      </c>
      <c r="G5" s="296">
        <v>182889</v>
      </c>
      <c r="H5" s="295">
        <v>15695</v>
      </c>
      <c r="I5" s="236">
        <f t="shared" si="0"/>
        <v>198584</v>
      </c>
      <c r="J5" s="237">
        <f>I5/$I$23</f>
        <v>7.9688603531300167E-2</v>
      </c>
      <c r="K5" s="66"/>
      <c r="L5" s="66"/>
    </row>
    <row r="6" spans="1:12" x14ac:dyDescent="0.25">
      <c r="A6" s="275" t="s">
        <v>36</v>
      </c>
      <c r="B6" s="373">
        <v>9</v>
      </c>
      <c r="C6" s="295">
        <v>0</v>
      </c>
      <c r="D6" s="295">
        <v>3</v>
      </c>
      <c r="E6" s="225">
        <f t="shared" si="1"/>
        <v>3</v>
      </c>
      <c r="F6" s="235">
        <f t="shared" si="2"/>
        <v>8.1743869209809257E-3</v>
      </c>
      <c r="G6" s="296">
        <v>20298</v>
      </c>
      <c r="H6" s="295">
        <v>9082</v>
      </c>
      <c r="I6" s="236">
        <f t="shared" si="0"/>
        <v>29380</v>
      </c>
      <c r="J6" s="237">
        <f t="shared" ref="J6:J22" si="3">I6/$I$23</f>
        <v>1.1789727126805779E-2</v>
      </c>
      <c r="K6" s="66"/>
      <c r="L6" s="66"/>
    </row>
    <row r="7" spans="1:12" x14ac:dyDescent="0.25">
      <c r="A7" s="275" t="s">
        <v>111</v>
      </c>
      <c r="B7" s="373">
        <v>20</v>
      </c>
      <c r="C7" s="295">
        <v>11</v>
      </c>
      <c r="D7" s="295">
        <v>8</v>
      </c>
      <c r="E7" s="225">
        <f t="shared" si="1"/>
        <v>19</v>
      </c>
      <c r="F7" s="235">
        <f t="shared" si="2"/>
        <v>5.1771117166212535E-2</v>
      </c>
      <c r="G7" s="296">
        <v>129241</v>
      </c>
      <c r="H7" s="295">
        <v>40568</v>
      </c>
      <c r="I7" s="236">
        <f t="shared" si="0"/>
        <v>169809</v>
      </c>
      <c r="J7" s="237">
        <f t="shared" si="3"/>
        <v>6.8141653290529694E-2</v>
      </c>
      <c r="K7" s="66"/>
      <c r="L7" s="66"/>
    </row>
    <row r="8" spans="1:12" x14ac:dyDescent="0.25">
      <c r="A8" s="275" t="s">
        <v>30</v>
      </c>
      <c r="B8" s="373">
        <v>55</v>
      </c>
      <c r="C8" s="295">
        <v>13</v>
      </c>
      <c r="D8" s="295">
        <v>17</v>
      </c>
      <c r="E8" s="225">
        <f t="shared" si="1"/>
        <v>30</v>
      </c>
      <c r="F8" s="235">
        <f t="shared" si="2"/>
        <v>8.1743869209809264E-2</v>
      </c>
      <c r="G8" s="296">
        <v>137161</v>
      </c>
      <c r="H8" s="295">
        <v>1952</v>
      </c>
      <c r="I8" s="236">
        <f t="shared" si="0"/>
        <v>139113</v>
      </c>
      <c r="J8" s="237">
        <f t="shared" si="3"/>
        <v>5.582383627608347E-2</v>
      </c>
      <c r="K8" s="66"/>
      <c r="L8" s="66"/>
    </row>
    <row r="9" spans="1:12" x14ac:dyDescent="0.25">
      <c r="A9" s="885" t="s">
        <v>172</v>
      </c>
      <c r="B9" s="373">
        <v>34</v>
      </c>
      <c r="C9" s="295">
        <v>9</v>
      </c>
      <c r="D9" s="295">
        <v>8</v>
      </c>
      <c r="E9" s="225">
        <f t="shared" si="1"/>
        <v>17</v>
      </c>
      <c r="F9" s="235">
        <f t="shared" si="2"/>
        <v>4.632152588555858E-2</v>
      </c>
      <c r="G9" s="296">
        <v>74955</v>
      </c>
      <c r="H9" s="295">
        <v>0</v>
      </c>
      <c r="I9" s="236">
        <f t="shared" si="0"/>
        <v>74955</v>
      </c>
      <c r="J9" s="237">
        <f t="shared" si="3"/>
        <v>3.0078250401284107E-2</v>
      </c>
      <c r="K9" s="66"/>
      <c r="L9" s="66"/>
    </row>
    <row r="10" spans="1:12" x14ac:dyDescent="0.25">
      <c r="A10" s="275" t="s">
        <v>34</v>
      </c>
      <c r="B10" s="373">
        <v>21</v>
      </c>
      <c r="C10" s="295">
        <v>4</v>
      </c>
      <c r="D10" s="295">
        <v>8</v>
      </c>
      <c r="E10" s="225">
        <f t="shared" si="1"/>
        <v>12</v>
      </c>
      <c r="F10" s="235">
        <f t="shared" si="2"/>
        <v>3.2697547683923703E-2</v>
      </c>
      <c r="G10" s="296">
        <v>79090</v>
      </c>
      <c r="H10" s="295">
        <v>16011</v>
      </c>
      <c r="I10" s="236">
        <f t="shared" si="0"/>
        <v>95101</v>
      </c>
      <c r="J10" s="237">
        <f t="shared" si="3"/>
        <v>3.8162520064205459E-2</v>
      </c>
      <c r="K10" s="66"/>
      <c r="L10" s="66"/>
    </row>
    <row r="11" spans="1:12" x14ac:dyDescent="0.25">
      <c r="A11" s="372" t="s">
        <v>26</v>
      </c>
      <c r="B11" s="373">
        <v>46</v>
      </c>
      <c r="C11" s="295">
        <v>6</v>
      </c>
      <c r="D11" s="295">
        <v>22</v>
      </c>
      <c r="E11" s="225">
        <f t="shared" si="1"/>
        <v>28</v>
      </c>
      <c r="F11" s="235">
        <f t="shared" si="2"/>
        <v>7.6294277929155316E-2</v>
      </c>
      <c r="G11" s="296">
        <v>192501</v>
      </c>
      <c r="H11" s="295">
        <v>65735</v>
      </c>
      <c r="I11" s="236">
        <f t="shared" si="0"/>
        <v>258236</v>
      </c>
      <c r="J11" s="237">
        <f t="shared" si="3"/>
        <v>0.10362600321027288</v>
      </c>
      <c r="K11" s="66"/>
      <c r="L11" s="66"/>
    </row>
    <row r="12" spans="1:12" x14ac:dyDescent="0.25">
      <c r="A12" s="275" t="s">
        <v>27</v>
      </c>
      <c r="B12" s="373">
        <v>48</v>
      </c>
      <c r="C12" s="295">
        <v>11</v>
      </c>
      <c r="D12" s="295">
        <v>29</v>
      </c>
      <c r="E12" s="225">
        <f t="shared" si="1"/>
        <v>40</v>
      </c>
      <c r="F12" s="235">
        <f t="shared" si="2"/>
        <v>0.10899182561307902</v>
      </c>
      <c r="G12" s="296">
        <v>248027</v>
      </c>
      <c r="H12" s="295">
        <v>123145</v>
      </c>
      <c r="I12" s="236">
        <f t="shared" si="0"/>
        <v>371172</v>
      </c>
      <c r="J12" s="237">
        <f t="shared" si="3"/>
        <v>0.14894542536115571</v>
      </c>
      <c r="K12" s="66"/>
      <c r="L12" s="66"/>
    </row>
    <row r="13" spans="1:12" x14ac:dyDescent="0.25">
      <c r="A13" s="374" t="s">
        <v>49</v>
      </c>
      <c r="B13" s="373">
        <v>73</v>
      </c>
      <c r="C13" s="295">
        <v>16</v>
      </c>
      <c r="D13" s="295">
        <v>25</v>
      </c>
      <c r="E13" s="225">
        <f t="shared" si="1"/>
        <v>41</v>
      </c>
      <c r="F13" s="235">
        <f t="shared" si="2"/>
        <v>0.11171662125340599</v>
      </c>
      <c r="G13" s="296">
        <v>217355</v>
      </c>
      <c r="H13" s="295">
        <v>83644</v>
      </c>
      <c r="I13" s="236">
        <f t="shared" si="0"/>
        <v>300999</v>
      </c>
      <c r="J13" s="237">
        <f t="shared" si="3"/>
        <v>0.12078611556982344</v>
      </c>
      <c r="K13" s="66"/>
      <c r="L13" s="66"/>
    </row>
    <row r="14" spans="1:12" x14ac:dyDescent="0.25">
      <c r="A14" s="275" t="s">
        <v>386</v>
      </c>
      <c r="B14" s="373">
        <v>8</v>
      </c>
      <c r="C14" s="295">
        <v>2</v>
      </c>
      <c r="D14" s="295">
        <v>2</v>
      </c>
      <c r="E14" s="225">
        <f t="shared" si="1"/>
        <v>4</v>
      </c>
      <c r="F14" s="235">
        <f t="shared" si="2"/>
        <v>1.0899182561307902E-2</v>
      </c>
      <c r="G14" s="296">
        <v>14943</v>
      </c>
      <c r="H14" s="295">
        <v>5256</v>
      </c>
      <c r="I14" s="236">
        <f t="shared" si="0"/>
        <v>20199</v>
      </c>
      <c r="J14" s="237">
        <f t="shared" si="3"/>
        <v>8.1055377207062598E-3</v>
      </c>
      <c r="K14" s="66"/>
      <c r="L14" s="66"/>
    </row>
    <row r="15" spans="1:12" x14ac:dyDescent="0.25">
      <c r="A15" s="275" t="s">
        <v>29</v>
      </c>
      <c r="B15" s="373">
        <v>18</v>
      </c>
      <c r="C15" s="295">
        <v>5</v>
      </c>
      <c r="D15" s="295">
        <v>7</v>
      </c>
      <c r="E15" s="225">
        <f t="shared" si="1"/>
        <v>12</v>
      </c>
      <c r="F15" s="235">
        <f t="shared" si="2"/>
        <v>3.2697547683923703E-2</v>
      </c>
      <c r="G15" s="296">
        <v>61830</v>
      </c>
      <c r="H15" s="295">
        <v>10442</v>
      </c>
      <c r="I15" s="236">
        <f t="shared" si="0"/>
        <v>72272</v>
      </c>
      <c r="J15" s="237">
        <f t="shared" si="3"/>
        <v>2.9001605136436598E-2</v>
      </c>
      <c r="K15" s="66"/>
      <c r="L15" s="66"/>
    </row>
    <row r="16" spans="1:12" x14ac:dyDescent="0.25">
      <c r="A16" s="374" t="s">
        <v>32</v>
      </c>
      <c r="B16" s="373">
        <v>35</v>
      </c>
      <c r="C16" s="295">
        <v>13</v>
      </c>
      <c r="D16" s="295">
        <v>15</v>
      </c>
      <c r="E16" s="225">
        <f t="shared" si="1"/>
        <v>28</v>
      </c>
      <c r="F16" s="235">
        <f t="shared" si="2"/>
        <v>7.6294277929155316E-2</v>
      </c>
      <c r="G16" s="296">
        <v>181434</v>
      </c>
      <c r="H16" s="295">
        <v>61551</v>
      </c>
      <c r="I16" s="236">
        <f t="shared" si="0"/>
        <v>242985</v>
      </c>
      <c r="J16" s="237">
        <f t="shared" si="3"/>
        <v>9.7506019261637239E-2</v>
      </c>
      <c r="K16" s="66"/>
      <c r="L16" s="66"/>
    </row>
    <row r="17" spans="1:12" x14ac:dyDescent="0.25">
      <c r="A17" s="372" t="s">
        <v>38</v>
      </c>
      <c r="B17" s="373">
        <v>16</v>
      </c>
      <c r="C17" s="295">
        <v>6</v>
      </c>
      <c r="D17" s="295">
        <v>6</v>
      </c>
      <c r="E17" s="225">
        <f t="shared" si="1"/>
        <v>12</v>
      </c>
      <c r="F17" s="235">
        <f t="shared" si="2"/>
        <v>3.2697547683923703E-2</v>
      </c>
      <c r="G17" s="296">
        <v>68303</v>
      </c>
      <c r="H17" s="295">
        <v>19840</v>
      </c>
      <c r="I17" s="236">
        <f t="shared" si="0"/>
        <v>88143</v>
      </c>
      <c r="J17" s="237">
        <f t="shared" si="3"/>
        <v>3.5370385232744786E-2</v>
      </c>
      <c r="K17" s="66"/>
      <c r="L17" s="66"/>
    </row>
    <row r="18" spans="1:12" x14ac:dyDescent="0.25">
      <c r="A18" s="275" t="s">
        <v>43</v>
      </c>
      <c r="B18" s="373">
        <v>7</v>
      </c>
      <c r="C18" s="295">
        <v>2</v>
      </c>
      <c r="D18" s="295">
        <v>5</v>
      </c>
      <c r="E18" s="225">
        <f t="shared" si="1"/>
        <v>7</v>
      </c>
      <c r="F18" s="235">
        <f t="shared" si="2"/>
        <v>1.9073569482288829E-2</v>
      </c>
      <c r="G18" s="296">
        <v>33806</v>
      </c>
      <c r="H18" s="295">
        <v>4391</v>
      </c>
      <c r="I18" s="236">
        <f t="shared" si="0"/>
        <v>38197</v>
      </c>
      <c r="J18" s="237">
        <f t="shared" si="3"/>
        <v>1.532784911717496E-2</v>
      </c>
      <c r="K18" s="66"/>
      <c r="L18" s="66"/>
    </row>
    <row r="19" spans="1:12" x14ac:dyDescent="0.25">
      <c r="A19" s="275" t="s">
        <v>45</v>
      </c>
      <c r="B19" s="373">
        <v>9</v>
      </c>
      <c r="C19" s="295">
        <v>3</v>
      </c>
      <c r="D19" s="295">
        <v>2</v>
      </c>
      <c r="E19" s="225">
        <f t="shared" si="1"/>
        <v>5</v>
      </c>
      <c r="F19" s="235">
        <f t="shared" si="2"/>
        <v>1.3623978201634877E-2</v>
      </c>
      <c r="G19" s="296">
        <v>27037</v>
      </c>
      <c r="H19" s="295">
        <v>0</v>
      </c>
      <c r="I19" s="236">
        <f t="shared" si="0"/>
        <v>27037</v>
      </c>
      <c r="J19" s="237">
        <f t="shared" si="3"/>
        <v>1.0849518459069021E-2</v>
      </c>
      <c r="K19" s="66"/>
      <c r="L19" s="66"/>
    </row>
    <row r="20" spans="1:12" ht="16.5" customHeight="1" x14ac:dyDescent="0.25">
      <c r="A20" s="275" t="s">
        <v>173</v>
      </c>
      <c r="B20" s="373">
        <v>4</v>
      </c>
      <c r="C20" s="295">
        <v>2</v>
      </c>
      <c r="D20" s="295">
        <v>5</v>
      </c>
      <c r="E20" s="225">
        <f t="shared" si="1"/>
        <v>7</v>
      </c>
      <c r="F20" s="235">
        <f t="shared" si="2"/>
        <v>1.9073569482288829E-2</v>
      </c>
      <c r="G20" s="296">
        <v>26528</v>
      </c>
      <c r="H20" s="295">
        <v>969</v>
      </c>
      <c r="I20" s="236">
        <f t="shared" si="0"/>
        <v>27497</v>
      </c>
      <c r="J20" s="237">
        <f t="shared" si="3"/>
        <v>1.1034109149277689E-2</v>
      </c>
      <c r="K20" s="66"/>
      <c r="L20" s="66"/>
    </row>
    <row r="21" spans="1:12" x14ac:dyDescent="0.25">
      <c r="A21" s="275" t="s">
        <v>35</v>
      </c>
      <c r="B21" s="373">
        <v>37</v>
      </c>
      <c r="C21" s="295">
        <v>8</v>
      </c>
      <c r="D21" s="295">
        <v>5</v>
      </c>
      <c r="E21" s="225">
        <f t="shared" si="1"/>
        <v>13</v>
      </c>
      <c r="F21" s="235">
        <f t="shared" si="2"/>
        <v>3.5422343324250684E-2</v>
      </c>
      <c r="G21" s="296">
        <v>38614</v>
      </c>
      <c r="H21" s="295">
        <v>3420</v>
      </c>
      <c r="I21" s="236">
        <f t="shared" si="0"/>
        <v>42034</v>
      </c>
      <c r="J21" s="237">
        <f t="shared" si="3"/>
        <v>1.6867576243980737E-2</v>
      </c>
      <c r="K21" s="66"/>
      <c r="L21" s="66"/>
    </row>
    <row r="22" spans="1:12" s="60" customFormat="1" ht="16.5" thickBot="1" x14ac:dyDescent="0.3">
      <c r="A22" s="276" t="s">
        <v>42</v>
      </c>
      <c r="B22" s="375">
        <v>5</v>
      </c>
      <c r="C22" s="376">
        <v>2</v>
      </c>
      <c r="D22" s="376">
        <v>2</v>
      </c>
      <c r="E22" s="377">
        <f t="shared" si="1"/>
        <v>4</v>
      </c>
      <c r="F22" s="378">
        <f t="shared" si="2"/>
        <v>1.0899182561307902E-2</v>
      </c>
      <c r="G22" s="379">
        <v>17398</v>
      </c>
      <c r="H22" s="376">
        <v>0</v>
      </c>
      <c r="I22" s="380">
        <f t="shared" si="0"/>
        <v>17398</v>
      </c>
      <c r="J22" s="381">
        <f t="shared" si="3"/>
        <v>6.9815409309791328E-3</v>
      </c>
      <c r="K22" s="66"/>
      <c r="L22" s="66"/>
    </row>
    <row r="23" spans="1:12" s="67" customFormat="1" ht="16.5" thickBot="1" x14ac:dyDescent="0.3">
      <c r="A23" s="382" t="s">
        <v>18</v>
      </c>
      <c r="B23" s="383">
        <v>591</v>
      </c>
      <c r="C23" s="384">
        <f t="shared" ref="C23:J23" si="4">SUM(C3:C22)</f>
        <v>147</v>
      </c>
      <c r="D23" s="384">
        <f t="shared" si="4"/>
        <v>220</v>
      </c>
      <c r="E23" s="384">
        <f t="shared" si="4"/>
        <v>367</v>
      </c>
      <c r="F23" s="385">
        <f t="shared" si="4"/>
        <v>1</v>
      </c>
      <c r="G23" s="386">
        <v>1992000</v>
      </c>
      <c r="H23" s="387">
        <v>500000</v>
      </c>
      <c r="I23" s="387">
        <f t="shared" si="4"/>
        <v>2492000</v>
      </c>
      <c r="J23" s="388">
        <f t="shared" si="4"/>
        <v>1</v>
      </c>
    </row>
    <row r="24" spans="1:12" x14ac:dyDescent="0.25">
      <c r="A24" s="1030" t="s">
        <v>375</v>
      </c>
      <c r="B24" s="1030"/>
      <c r="C24" s="1030"/>
      <c r="D24" s="1030"/>
      <c r="E24" s="390"/>
      <c r="F24" s="390"/>
      <c r="G24" s="390"/>
      <c r="H24" s="390"/>
      <c r="I24" s="390"/>
      <c r="J24" s="460" t="s">
        <v>497</v>
      </c>
    </row>
    <row r="25" spans="1:12" s="68" customFormat="1" ht="12.75" x14ac:dyDescent="0.2">
      <c r="E25" s="389"/>
      <c r="F25" s="389"/>
      <c r="G25" s="389"/>
      <c r="H25" s="389"/>
      <c r="I25" s="389"/>
      <c r="J25" s="389"/>
    </row>
    <row r="26" spans="1:12" x14ac:dyDescent="0.25">
      <c r="A26" s="68"/>
      <c r="B26" s="68"/>
    </row>
    <row r="27" spans="1:12" x14ac:dyDescent="0.25">
      <c r="C27" s="68"/>
    </row>
  </sheetData>
  <mergeCells count="2">
    <mergeCell ref="A1:J1"/>
    <mergeCell ref="A24:D24"/>
  </mergeCells>
  <pageMargins left="0.70866141732283472" right="0.11811023622047245" top="0.74803149606299213" bottom="0.15748031496062992" header="0" footer="0"/>
  <pageSetup paperSize="9" scale="95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38"/>
  <sheetViews>
    <sheetView workbookViewId="0">
      <selection sqref="A1:G1"/>
    </sheetView>
  </sheetViews>
  <sheetFormatPr defaultRowHeight="15.75" x14ac:dyDescent="0.25"/>
  <cols>
    <col min="1" max="1" width="23.7109375" style="72" customWidth="1"/>
    <col min="2" max="2" width="15.140625" style="72" customWidth="1"/>
    <col min="3" max="3" width="17.42578125" style="72" customWidth="1"/>
    <col min="4" max="4" width="18.28515625" style="72" customWidth="1"/>
    <col min="5" max="5" width="18.5703125" style="72" customWidth="1"/>
    <col min="6" max="6" width="18.85546875" style="72" customWidth="1"/>
    <col min="7" max="7" width="20.140625" style="72" customWidth="1"/>
    <col min="8" max="16384" width="9.140625" style="72"/>
  </cols>
  <sheetData>
    <row r="1" spans="1:7" s="70" customFormat="1" ht="65.25" customHeight="1" thickBot="1" x14ac:dyDescent="0.3">
      <c r="A1" s="1033" t="s">
        <v>427</v>
      </c>
      <c r="B1" s="1033"/>
      <c r="C1" s="1033"/>
      <c r="D1" s="1033"/>
      <c r="E1" s="1033"/>
      <c r="F1" s="1033"/>
      <c r="G1" s="1033"/>
    </row>
    <row r="2" spans="1:7" s="71" customFormat="1" ht="102.75" customHeight="1" thickBot="1" x14ac:dyDescent="0.3">
      <c r="A2" s="426" t="s">
        <v>412</v>
      </c>
      <c r="B2" s="427" t="s">
        <v>413</v>
      </c>
      <c r="C2" s="428" t="s">
        <v>414</v>
      </c>
      <c r="D2" s="428" t="s">
        <v>415</v>
      </c>
      <c r="E2" s="428" t="s">
        <v>416</v>
      </c>
      <c r="F2" s="428" t="s">
        <v>417</v>
      </c>
      <c r="G2" s="429" t="s">
        <v>418</v>
      </c>
    </row>
    <row r="3" spans="1:7" s="71" customFormat="1" ht="20.100000000000001" customHeight="1" x14ac:dyDescent="0.25">
      <c r="A3" s="471" t="s">
        <v>25</v>
      </c>
      <c r="B3" s="345">
        <v>93</v>
      </c>
      <c r="C3" s="346">
        <v>0.28353658536585363</v>
      </c>
      <c r="D3" s="796">
        <v>1953951.11</v>
      </c>
      <c r="E3" s="796"/>
      <c r="F3" s="796">
        <v>1953951.11</v>
      </c>
      <c r="G3" s="347">
        <v>0.2842766526523548</v>
      </c>
    </row>
    <row r="4" spans="1:7" s="71" customFormat="1" ht="20.100000000000001" customHeight="1" x14ac:dyDescent="0.25">
      <c r="A4" s="472" t="s">
        <v>26</v>
      </c>
      <c r="B4" s="348">
        <v>62</v>
      </c>
      <c r="C4" s="349">
        <v>0.18902439024390244</v>
      </c>
      <c r="D4" s="797">
        <v>1551231.11</v>
      </c>
      <c r="E4" s="797">
        <v>26200</v>
      </c>
      <c r="F4" s="797">
        <v>1577431.11</v>
      </c>
      <c r="G4" s="350">
        <v>0.22949746973990998</v>
      </c>
    </row>
    <row r="5" spans="1:7" s="71" customFormat="1" ht="20.100000000000001" customHeight="1" x14ac:dyDescent="0.25">
      <c r="A5" s="472" t="s">
        <v>27</v>
      </c>
      <c r="B5" s="348">
        <v>37</v>
      </c>
      <c r="C5" s="349">
        <v>0.11280487804878049</v>
      </c>
      <c r="D5" s="797">
        <v>533935</v>
      </c>
      <c r="E5" s="797">
        <v>57160</v>
      </c>
      <c r="F5" s="797">
        <v>591095</v>
      </c>
      <c r="G5" s="350">
        <v>8.5997293964813509E-2</v>
      </c>
    </row>
    <row r="6" spans="1:7" s="71" customFormat="1" ht="20.100000000000001" customHeight="1" x14ac:dyDescent="0.25">
      <c r="A6" s="472" t="s">
        <v>49</v>
      </c>
      <c r="B6" s="348">
        <v>36</v>
      </c>
      <c r="C6" s="349">
        <v>0.10975609756097561</v>
      </c>
      <c r="D6" s="797">
        <v>813537.66</v>
      </c>
      <c r="E6" s="797">
        <v>185250</v>
      </c>
      <c r="F6" s="797">
        <v>998787.66</v>
      </c>
      <c r="G6" s="350">
        <v>0.14531172824241148</v>
      </c>
    </row>
    <row r="7" spans="1:7" s="71" customFormat="1" ht="20.100000000000001" customHeight="1" x14ac:dyDescent="0.25">
      <c r="A7" s="472" t="s">
        <v>33</v>
      </c>
      <c r="B7" s="348">
        <v>29</v>
      </c>
      <c r="C7" s="349">
        <v>8.8414634146341459E-2</v>
      </c>
      <c r="D7" s="797">
        <v>688223.81</v>
      </c>
      <c r="E7" s="797"/>
      <c r="F7" s="797">
        <v>688223.81</v>
      </c>
      <c r="G7" s="350">
        <v>0.10012838088996517</v>
      </c>
    </row>
    <row r="8" spans="1:7" s="71" customFormat="1" ht="20.100000000000001" customHeight="1" x14ac:dyDescent="0.25">
      <c r="A8" s="472" t="s">
        <v>38</v>
      </c>
      <c r="B8" s="348">
        <v>13</v>
      </c>
      <c r="C8" s="349">
        <v>3.9634146341463415E-2</v>
      </c>
      <c r="D8" s="797">
        <v>212372</v>
      </c>
      <c r="E8" s="797"/>
      <c r="F8" s="797">
        <v>212372</v>
      </c>
      <c r="G8" s="350">
        <v>3.0897600747587739E-2</v>
      </c>
    </row>
    <row r="9" spans="1:7" s="71" customFormat="1" ht="20.100000000000001" customHeight="1" x14ac:dyDescent="0.25">
      <c r="A9" s="472" t="s">
        <v>31</v>
      </c>
      <c r="B9" s="348">
        <v>12</v>
      </c>
      <c r="C9" s="349">
        <v>3.6585365853658534E-2</v>
      </c>
      <c r="D9" s="797">
        <v>152589.03</v>
      </c>
      <c r="E9" s="797"/>
      <c r="F9" s="797">
        <v>152589.03</v>
      </c>
      <c r="G9" s="350">
        <v>2.2199889474138246E-2</v>
      </c>
    </row>
    <row r="10" spans="1:7" s="71" customFormat="1" ht="20.100000000000001" customHeight="1" x14ac:dyDescent="0.25">
      <c r="A10" s="472" t="s">
        <v>172</v>
      </c>
      <c r="B10" s="348">
        <v>11</v>
      </c>
      <c r="C10" s="349">
        <v>3.3536585365853661E-2</v>
      </c>
      <c r="D10" s="797">
        <v>143023.85999999999</v>
      </c>
      <c r="E10" s="797"/>
      <c r="F10" s="797">
        <v>143023.85999999999</v>
      </c>
      <c r="G10" s="350">
        <v>2.0808270975735427E-2</v>
      </c>
    </row>
    <row r="11" spans="1:7" s="71" customFormat="1" ht="20.100000000000001" customHeight="1" x14ac:dyDescent="0.25">
      <c r="A11" s="472" t="s">
        <v>30</v>
      </c>
      <c r="B11" s="348">
        <v>10</v>
      </c>
      <c r="C11" s="349">
        <v>3.048780487804878E-2</v>
      </c>
      <c r="D11" s="797">
        <v>141655.64000000001</v>
      </c>
      <c r="E11" s="797"/>
      <c r="F11" s="797">
        <v>141655.64000000001</v>
      </c>
      <c r="G11" s="350">
        <v>2.0609211234833311E-2</v>
      </c>
    </row>
    <row r="12" spans="1:7" s="71" customFormat="1" ht="20.100000000000001" customHeight="1" x14ac:dyDescent="0.25">
      <c r="A12" s="472" t="s">
        <v>32</v>
      </c>
      <c r="B12" s="348">
        <v>9</v>
      </c>
      <c r="C12" s="349">
        <v>2.7439024390243903E-2</v>
      </c>
      <c r="D12" s="797">
        <v>61652.73</v>
      </c>
      <c r="E12" s="797"/>
      <c r="F12" s="797">
        <v>61652.73</v>
      </c>
      <c r="G12" s="350">
        <v>8.9697391206883439E-3</v>
      </c>
    </row>
    <row r="13" spans="1:7" s="71" customFormat="1" ht="20.100000000000001" customHeight="1" x14ac:dyDescent="0.25">
      <c r="A13" s="472" t="s">
        <v>111</v>
      </c>
      <c r="B13" s="348">
        <v>6</v>
      </c>
      <c r="C13" s="349">
        <v>1.8292682926829267E-2</v>
      </c>
      <c r="D13" s="797">
        <v>250131</v>
      </c>
      <c r="E13" s="797"/>
      <c r="F13" s="797">
        <v>250131</v>
      </c>
      <c r="G13" s="350">
        <v>3.6391086266526984E-2</v>
      </c>
    </row>
    <row r="14" spans="1:7" s="71" customFormat="1" ht="20.100000000000001" customHeight="1" x14ac:dyDescent="0.25">
      <c r="A14" s="472" t="s">
        <v>29</v>
      </c>
      <c r="B14" s="348">
        <v>5</v>
      </c>
      <c r="C14" s="349">
        <v>1.524390243902439E-2</v>
      </c>
      <c r="D14" s="797">
        <v>42037</v>
      </c>
      <c r="E14" s="797"/>
      <c r="F14" s="797">
        <v>42037</v>
      </c>
      <c r="G14" s="350">
        <v>6.1158836505111119E-3</v>
      </c>
    </row>
    <row r="15" spans="1:7" s="71" customFormat="1" ht="20.100000000000001" customHeight="1" x14ac:dyDescent="0.25">
      <c r="A15" s="472" t="s">
        <v>386</v>
      </c>
      <c r="B15" s="348">
        <v>3</v>
      </c>
      <c r="C15" s="349">
        <v>9.1463414634146336E-3</v>
      </c>
      <c r="D15" s="797">
        <v>18669</v>
      </c>
      <c r="E15" s="797"/>
      <c r="F15" s="797">
        <v>18669</v>
      </c>
      <c r="G15" s="350">
        <v>2.7161175124626388E-3</v>
      </c>
    </row>
    <row r="16" spans="1:7" s="71" customFormat="1" ht="20.100000000000001" customHeight="1" thickBot="1" x14ac:dyDescent="0.3">
      <c r="A16" s="473" t="s">
        <v>34</v>
      </c>
      <c r="B16" s="351">
        <v>2</v>
      </c>
      <c r="C16" s="352">
        <v>6.0975609756097563E-3</v>
      </c>
      <c r="D16" s="798">
        <v>41795</v>
      </c>
      <c r="E16" s="798"/>
      <c r="F16" s="798">
        <v>41795</v>
      </c>
      <c r="G16" s="353">
        <v>6.0806755280612768E-3</v>
      </c>
    </row>
    <row r="17" spans="1:7" s="71" customFormat="1" ht="23.25" customHeight="1" thickBot="1" x14ac:dyDescent="0.3">
      <c r="A17" s="357" t="s">
        <v>419</v>
      </c>
      <c r="B17" s="354">
        <v>328</v>
      </c>
      <c r="C17" s="355">
        <v>1</v>
      </c>
      <c r="D17" s="799">
        <v>6604803.9500000002</v>
      </c>
      <c r="E17" s="799">
        <v>268610</v>
      </c>
      <c r="F17" s="799">
        <v>6873413.9500000002</v>
      </c>
      <c r="G17" s="356">
        <v>0.99999999999999967</v>
      </c>
    </row>
    <row r="18" spans="1:7" x14ac:dyDescent="0.2">
      <c r="A18" s="1030" t="s">
        <v>375</v>
      </c>
      <c r="B18" s="1030"/>
      <c r="C18" s="1030"/>
      <c r="D18" s="1030"/>
      <c r="G18" s="461" t="s">
        <v>188</v>
      </c>
    </row>
    <row r="19" spans="1:7" customFormat="1" ht="15" customHeight="1" x14ac:dyDescent="0.25">
      <c r="A19" s="72"/>
      <c r="B19" s="72"/>
      <c r="C19" s="72"/>
      <c r="D19" s="72"/>
      <c r="G19" s="343"/>
    </row>
    <row r="20" spans="1:7" s="344" customFormat="1" ht="15" x14ac:dyDescent="0.25"/>
    <row r="21" spans="1:7" customFormat="1" x14ac:dyDescent="0.25">
      <c r="A21" s="72"/>
      <c r="B21" s="72"/>
      <c r="C21" s="72"/>
      <c r="D21" s="72"/>
      <c r="E21" s="72"/>
      <c r="F21" s="72"/>
      <c r="G21" s="72"/>
    </row>
    <row r="22" spans="1:7" customFormat="1" x14ac:dyDescent="0.25">
      <c r="A22" s="72"/>
      <c r="B22" s="72"/>
      <c r="C22" s="72"/>
      <c r="D22" s="72"/>
      <c r="E22" s="72"/>
      <c r="F22" s="72"/>
      <c r="G22" s="72"/>
    </row>
    <row r="23" spans="1:7" customFormat="1" x14ac:dyDescent="0.25">
      <c r="A23" s="72"/>
      <c r="B23" s="72"/>
      <c r="C23" s="72"/>
      <c r="D23" s="72"/>
      <c r="E23" s="72"/>
      <c r="F23" s="72"/>
      <c r="G23" s="72"/>
    </row>
    <row r="24" spans="1:7" customFormat="1" x14ac:dyDescent="0.25">
      <c r="A24" s="72"/>
      <c r="B24" s="72"/>
      <c r="C24" s="72"/>
      <c r="D24" s="72"/>
      <c r="E24" s="72"/>
      <c r="F24" s="72"/>
      <c r="G24" s="72"/>
    </row>
    <row r="25" spans="1:7" customFormat="1" x14ac:dyDescent="0.25">
      <c r="A25" s="72"/>
      <c r="B25" s="72"/>
      <c r="C25" s="72"/>
      <c r="D25" s="72"/>
      <c r="E25" s="72"/>
      <c r="F25" s="72"/>
      <c r="G25" s="72"/>
    </row>
    <row r="26" spans="1:7" customFormat="1" x14ac:dyDescent="0.25">
      <c r="A26" s="72"/>
      <c r="B26" s="72"/>
      <c r="C26" s="72"/>
      <c r="D26" s="72"/>
      <c r="E26" s="72"/>
      <c r="F26" s="72"/>
      <c r="G26" s="72"/>
    </row>
    <row r="27" spans="1:7" customFormat="1" x14ac:dyDescent="0.25">
      <c r="A27" s="72"/>
      <c r="B27" s="72"/>
      <c r="C27" s="72"/>
      <c r="D27" s="72"/>
      <c r="E27" s="72"/>
      <c r="F27" s="72"/>
      <c r="G27" s="72"/>
    </row>
    <row r="28" spans="1:7" customFormat="1" x14ac:dyDescent="0.25">
      <c r="A28" s="72"/>
      <c r="B28" s="72"/>
      <c r="C28" s="72"/>
      <c r="D28" s="72"/>
      <c r="E28" s="72"/>
      <c r="F28" s="72"/>
      <c r="G28" s="72"/>
    </row>
    <row r="29" spans="1:7" customFormat="1" x14ac:dyDescent="0.25">
      <c r="A29" s="72"/>
      <c r="B29" s="72"/>
      <c r="C29" s="72"/>
      <c r="D29" s="72"/>
      <c r="E29" s="72"/>
      <c r="F29" s="72"/>
      <c r="G29" s="72"/>
    </row>
    <row r="30" spans="1:7" customFormat="1" x14ac:dyDescent="0.25">
      <c r="A30" s="72"/>
      <c r="B30" s="72"/>
      <c r="C30" s="72"/>
      <c r="D30" s="72"/>
      <c r="E30" s="72"/>
      <c r="F30" s="72"/>
      <c r="G30" s="72"/>
    </row>
    <row r="31" spans="1:7" customFormat="1" x14ac:dyDescent="0.25">
      <c r="A31" s="72"/>
      <c r="B31" s="72"/>
      <c r="C31" s="72"/>
      <c r="D31" s="72"/>
      <c r="E31" s="72"/>
      <c r="F31" s="72"/>
      <c r="G31" s="72"/>
    </row>
    <row r="32" spans="1:7" customFormat="1" x14ac:dyDescent="0.25">
      <c r="A32" s="72"/>
      <c r="B32" s="72"/>
      <c r="C32" s="72"/>
      <c r="D32" s="72"/>
      <c r="E32" s="72"/>
      <c r="F32" s="72"/>
      <c r="G32" s="72"/>
    </row>
    <row r="33" spans="1:7" customFormat="1" x14ac:dyDescent="0.25">
      <c r="A33" s="72"/>
      <c r="B33" s="72"/>
      <c r="C33" s="72"/>
      <c r="D33" s="72"/>
      <c r="E33" s="72"/>
      <c r="F33" s="72"/>
      <c r="G33" s="72"/>
    </row>
    <row r="34" spans="1:7" customFormat="1" x14ac:dyDescent="0.25">
      <c r="A34" s="72"/>
      <c r="B34" s="72"/>
      <c r="C34" s="72"/>
      <c r="D34" s="72"/>
      <c r="E34" s="72"/>
      <c r="F34" s="72"/>
      <c r="G34" s="72"/>
    </row>
    <row r="35" spans="1:7" customFormat="1" x14ac:dyDescent="0.25">
      <c r="A35" s="72"/>
      <c r="B35" s="72"/>
      <c r="C35" s="72"/>
      <c r="D35" s="72"/>
      <c r="E35" s="72"/>
      <c r="F35" s="72"/>
      <c r="G35" s="72"/>
    </row>
    <row r="36" spans="1:7" customFormat="1" ht="15" x14ac:dyDescent="0.25">
      <c r="C36" s="343"/>
      <c r="D36" s="343"/>
      <c r="G36" s="343"/>
    </row>
    <row r="37" spans="1:7" customFormat="1" ht="15" x14ac:dyDescent="0.25">
      <c r="C37" s="343"/>
      <c r="D37" s="343"/>
      <c r="G37" s="343"/>
    </row>
    <row r="38" spans="1:7" customFormat="1" ht="15" x14ac:dyDescent="0.25">
      <c r="C38" s="343"/>
      <c r="D38" s="343"/>
      <c r="G38" s="343"/>
    </row>
  </sheetData>
  <mergeCells count="2">
    <mergeCell ref="A1:G1"/>
    <mergeCell ref="A18:D1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E1"/>
    </sheetView>
  </sheetViews>
  <sheetFormatPr defaultRowHeight="15.75" x14ac:dyDescent="0.25"/>
  <cols>
    <col min="1" max="1" width="28.85546875" style="72" customWidth="1"/>
    <col min="2" max="2" width="26.28515625" style="72" customWidth="1"/>
    <col min="3" max="3" width="24.7109375" style="72" customWidth="1"/>
    <col min="4" max="5" width="21.85546875" style="72" customWidth="1"/>
    <col min="6" max="6" width="9.140625" style="72"/>
    <col min="7" max="7" width="9.140625" style="72" customWidth="1"/>
    <col min="8" max="16384" width="9.140625" style="72"/>
  </cols>
  <sheetData>
    <row r="1" spans="1:7" s="70" customFormat="1" ht="75" customHeight="1" thickBot="1" x14ac:dyDescent="0.3">
      <c r="A1" s="1034" t="s">
        <v>428</v>
      </c>
      <c r="B1" s="1034"/>
      <c r="C1" s="1034"/>
      <c r="D1" s="1034"/>
      <c r="E1" s="1034"/>
      <c r="F1" s="74"/>
      <c r="G1" s="74"/>
    </row>
    <row r="2" spans="1:7" ht="96.75" customHeight="1" thickBot="1" x14ac:dyDescent="0.3">
      <c r="A2" s="474" t="s">
        <v>371</v>
      </c>
      <c r="B2" s="475" t="s">
        <v>420</v>
      </c>
      <c r="C2" s="476" t="s">
        <v>421</v>
      </c>
      <c r="D2" s="476" t="s">
        <v>422</v>
      </c>
      <c r="E2" s="477" t="s">
        <v>423</v>
      </c>
    </row>
    <row r="3" spans="1:7" ht="24.95" customHeight="1" x14ac:dyDescent="0.25">
      <c r="A3" s="478" t="s">
        <v>424</v>
      </c>
      <c r="B3" s="479">
        <v>6604803.9499999983</v>
      </c>
      <c r="C3" s="480">
        <v>268610</v>
      </c>
      <c r="D3" s="480">
        <v>6873413.9499999983</v>
      </c>
      <c r="E3" s="481">
        <v>0.3614</v>
      </c>
    </row>
    <row r="4" spans="1:7" ht="24.95" customHeight="1" x14ac:dyDescent="0.25">
      <c r="A4" s="482" t="s">
        <v>389</v>
      </c>
      <c r="B4" s="483">
        <v>27888.06</v>
      </c>
      <c r="C4" s="484"/>
      <c r="D4" s="484">
        <v>27888.06</v>
      </c>
      <c r="E4" s="481">
        <v>1.5E-3</v>
      </c>
    </row>
    <row r="5" spans="1:7" ht="24.95" customHeight="1" x14ac:dyDescent="0.25">
      <c r="A5" s="482" t="s">
        <v>608</v>
      </c>
      <c r="B5" s="483">
        <v>5975519.0600000005</v>
      </c>
      <c r="C5" s="484"/>
      <c r="D5" s="484">
        <v>5975519.0600000005</v>
      </c>
      <c r="E5" s="481">
        <v>0.31419999999999998</v>
      </c>
    </row>
    <row r="6" spans="1:7" ht="24.95" customHeight="1" x14ac:dyDescent="0.25">
      <c r="A6" s="482" t="s">
        <v>609</v>
      </c>
      <c r="B6" s="483">
        <v>5380082.7700000005</v>
      </c>
      <c r="C6" s="484">
        <v>750</v>
      </c>
      <c r="D6" s="484">
        <v>5380832.7700000005</v>
      </c>
      <c r="E6" s="481">
        <v>0.28289999999999998</v>
      </c>
    </row>
    <row r="7" spans="1:7" ht="24.95" customHeight="1" thickBot="1" x14ac:dyDescent="0.3">
      <c r="A7" s="485" t="s">
        <v>425</v>
      </c>
      <c r="B7" s="486">
        <v>761691.55</v>
      </c>
      <c r="C7" s="487"/>
      <c r="D7" s="487">
        <v>761691.55</v>
      </c>
      <c r="E7" s="488">
        <v>0.04</v>
      </c>
    </row>
    <row r="8" spans="1:7" s="69" customFormat="1" ht="24.95" customHeight="1" thickBot="1" x14ac:dyDescent="0.25">
      <c r="A8" s="886" t="s">
        <v>419</v>
      </c>
      <c r="B8" s="489">
        <v>18749985.390000001</v>
      </c>
      <c r="C8" s="490">
        <v>269360</v>
      </c>
      <c r="D8" s="490">
        <v>19019345.390000001</v>
      </c>
      <c r="E8" s="491">
        <f>SUM(E3:E7)</f>
        <v>1</v>
      </c>
    </row>
    <row r="9" spans="1:7" s="69" customFormat="1" ht="15.75" customHeight="1" x14ac:dyDescent="0.2">
      <c r="A9" s="1030" t="s">
        <v>375</v>
      </c>
      <c r="B9" s="1030"/>
      <c r="C9" s="1030"/>
      <c r="D9" s="1030"/>
      <c r="E9" s="461" t="s">
        <v>188</v>
      </c>
    </row>
    <row r="10" spans="1:7" ht="15.75" customHeight="1" x14ac:dyDescent="0.25"/>
    <row r="11" spans="1:7" x14ac:dyDescent="0.25">
      <c r="A11" s="73"/>
    </row>
  </sheetData>
  <mergeCells count="2">
    <mergeCell ref="A1:E1"/>
    <mergeCell ref="A9:D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workbookViewId="0"/>
  </sheetViews>
  <sheetFormatPr defaultRowHeight="15" x14ac:dyDescent="0.25"/>
  <cols>
    <col min="1" max="1" width="13.85546875" style="29" customWidth="1"/>
    <col min="2" max="8" width="9.140625" style="29" customWidth="1"/>
    <col min="9" max="9" width="8.85546875" style="29" customWidth="1"/>
    <col min="11" max="11" width="11.140625" customWidth="1"/>
  </cols>
  <sheetData>
    <row r="1" spans="1:20" ht="42.75" customHeight="1" x14ac:dyDescent="0.25">
      <c r="A1" s="858" t="s">
        <v>597</v>
      </c>
    </row>
    <row r="2" spans="1:20" ht="21" customHeight="1" x14ac:dyDescent="0.25">
      <c r="A2" s="247" t="s">
        <v>102</v>
      </c>
      <c r="B2" s="302" t="s">
        <v>103</v>
      </c>
      <c r="C2" s="302"/>
      <c r="D2" s="302"/>
      <c r="E2" s="302"/>
      <c r="F2" s="302"/>
      <c r="G2" s="302"/>
      <c r="H2" s="302"/>
      <c r="I2" s="247"/>
      <c r="J2" s="240"/>
      <c r="K2" s="240"/>
    </row>
    <row r="3" spans="1:20" ht="19.5" customHeight="1" x14ac:dyDescent="0.25">
      <c r="B3" s="247" t="s">
        <v>498</v>
      </c>
      <c r="C3" s="247"/>
      <c r="D3" s="247"/>
      <c r="E3" s="247"/>
      <c r="F3" s="247"/>
      <c r="G3" s="247"/>
      <c r="H3" s="247"/>
      <c r="I3" s="247"/>
      <c r="J3" s="240"/>
      <c r="K3" s="240"/>
    </row>
    <row r="4" spans="1:20" ht="21" customHeight="1" x14ac:dyDescent="0.25">
      <c r="B4" s="247" t="s">
        <v>537</v>
      </c>
      <c r="C4" s="247"/>
      <c r="D4" s="247"/>
      <c r="E4" s="247"/>
      <c r="F4" s="247"/>
      <c r="G4" s="247"/>
      <c r="H4" s="247"/>
      <c r="I4" s="247"/>
      <c r="J4" s="240"/>
      <c r="K4" s="240"/>
    </row>
    <row r="5" spans="1:20" ht="18" customHeight="1" x14ac:dyDescent="0.25">
      <c r="A5" s="247" t="s">
        <v>106</v>
      </c>
      <c r="B5" s="926" t="s">
        <v>499</v>
      </c>
      <c r="C5" s="926"/>
      <c r="D5" s="926"/>
      <c r="E5" s="926"/>
      <c r="F5" s="926"/>
      <c r="G5" s="926"/>
      <c r="H5" s="926"/>
      <c r="I5" s="926"/>
      <c r="J5" s="240"/>
      <c r="K5" s="240"/>
      <c r="L5" s="85"/>
      <c r="M5" s="85"/>
      <c r="N5" s="85"/>
    </row>
    <row r="6" spans="1:20" ht="19.5" customHeight="1" x14ac:dyDescent="0.25">
      <c r="B6" s="926" t="s">
        <v>500</v>
      </c>
      <c r="C6" s="926"/>
      <c r="D6" s="926"/>
      <c r="E6" s="926"/>
      <c r="F6" s="926"/>
      <c r="G6" s="926"/>
      <c r="H6" s="926"/>
      <c r="I6" s="926"/>
      <c r="J6" s="240"/>
      <c r="K6" s="240"/>
      <c r="L6" s="85"/>
      <c r="M6" s="85"/>
      <c r="N6" s="85"/>
    </row>
    <row r="7" spans="1:20" ht="19.5" customHeight="1" x14ac:dyDescent="0.25">
      <c r="B7" s="247" t="s">
        <v>501</v>
      </c>
      <c r="C7" s="247"/>
      <c r="D7" s="247"/>
      <c r="E7" s="247"/>
      <c r="F7" s="247"/>
      <c r="G7" s="247"/>
      <c r="H7" s="247"/>
      <c r="I7" s="247"/>
      <c r="J7" s="240"/>
      <c r="K7" s="240"/>
      <c r="L7" s="85"/>
      <c r="M7" s="85"/>
      <c r="N7" s="85"/>
    </row>
    <row r="8" spans="1:20" ht="44.25" customHeight="1" x14ac:dyDescent="0.25">
      <c r="A8" s="247" t="s">
        <v>107</v>
      </c>
      <c r="B8" s="927" t="s">
        <v>502</v>
      </c>
      <c r="C8" s="927"/>
      <c r="D8" s="927"/>
      <c r="E8" s="927"/>
      <c r="F8" s="927"/>
      <c r="G8" s="927"/>
      <c r="H8" s="927"/>
      <c r="I8" s="927"/>
      <c r="J8" s="248"/>
      <c r="K8" s="248"/>
      <c r="L8" s="85"/>
      <c r="M8" s="85"/>
      <c r="N8" s="85"/>
    </row>
    <row r="9" spans="1:20" ht="47.25" customHeight="1" x14ac:dyDescent="0.25">
      <c r="A9" s="247" t="s">
        <v>104</v>
      </c>
      <c r="B9" s="927" t="s">
        <v>538</v>
      </c>
      <c r="C9" s="927"/>
      <c r="D9" s="927"/>
      <c r="E9" s="927"/>
      <c r="F9" s="927"/>
      <c r="G9" s="927"/>
      <c r="H9" s="927"/>
      <c r="I9" s="927"/>
      <c r="J9" s="248"/>
      <c r="K9" s="248"/>
      <c r="L9" s="85"/>
      <c r="M9" s="85"/>
      <c r="N9" s="85"/>
    </row>
    <row r="10" spans="1:20" ht="30.75" customHeight="1" x14ac:dyDescent="0.25">
      <c r="A10" s="247" t="s">
        <v>105</v>
      </c>
      <c r="B10" s="928" t="s">
        <v>503</v>
      </c>
      <c r="C10" s="928"/>
      <c r="D10" s="928"/>
      <c r="E10" s="928"/>
      <c r="F10" s="928"/>
      <c r="G10" s="928"/>
      <c r="H10" s="928"/>
      <c r="I10" s="928"/>
      <c r="J10" s="240"/>
      <c r="K10" s="240"/>
      <c r="L10" s="85"/>
      <c r="M10" s="85"/>
      <c r="N10" s="85"/>
    </row>
    <row r="11" spans="1:20" ht="31.5" customHeight="1" x14ac:dyDescent="0.25">
      <c r="A11" s="247" t="s">
        <v>387</v>
      </c>
      <c r="B11" s="929" t="s">
        <v>540</v>
      </c>
      <c r="C11" s="929"/>
      <c r="D11" s="929"/>
      <c r="E11" s="929"/>
      <c r="F11" s="929"/>
      <c r="G11" s="929"/>
      <c r="H11" s="929"/>
      <c r="I11" s="929"/>
      <c r="J11" s="241"/>
      <c r="K11" s="241"/>
    </row>
    <row r="12" spans="1:20" ht="21.75" customHeight="1" x14ac:dyDescent="0.25">
      <c r="A12" s="247" t="s">
        <v>365</v>
      </c>
      <c r="B12" s="930" t="s">
        <v>504</v>
      </c>
      <c r="C12" s="930"/>
      <c r="D12" s="930"/>
      <c r="E12" s="930"/>
      <c r="F12" s="930"/>
      <c r="G12" s="930"/>
      <c r="H12" s="930"/>
      <c r="I12" s="930"/>
      <c r="J12" s="251"/>
      <c r="K12" s="251"/>
      <c r="L12" s="85"/>
      <c r="M12" s="85"/>
      <c r="N12" s="85"/>
    </row>
    <row r="13" spans="1:20" ht="53.25" customHeight="1" x14ac:dyDescent="0.25">
      <c r="A13" s="247" t="s">
        <v>367</v>
      </c>
      <c r="B13" s="931" t="s">
        <v>545</v>
      </c>
      <c r="C13" s="931"/>
      <c r="D13" s="931"/>
      <c r="E13" s="931"/>
      <c r="F13" s="931"/>
      <c r="G13" s="931"/>
      <c r="H13" s="931"/>
      <c r="I13" s="931"/>
      <c r="J13" s="249"/>
      <c r="K13" s="463"/>
      <c r="L13" s="463"/>
      <c r="M13" s="463"/>
      <c r="N13" s="463"/>
      <c r="O13" s="463"/>
      <c r="P13" s="463"/>
      <c r="Q13" s="463"/>
      <c r="R13" s="463"/>
      <c r="S13" s="463"/>
      <c r="T13" s="463"/>
    </row>
    <row r="14" spans="1:20" ht="63" customHeight="1" x14ac:dyDescent="0.25">
      <c r="A14" s="247" t="s">
        <v>368</v>
      </c>
      <c r="B14" s="932" t="s">
        <v>505</v>
      </c>
      <c r="C14" s="932"/>
      <c r="D14" s="932"/>
      <c r="E14" s="932"/>
      <c r="F14" s="932"/>
      <c r="G14" s="932"/>
      <c r="H14" s="932"/>
      <c r="I14" s="932"/>
      <c r="J14" s="250"/>
      <c r="K14" s="250"/>
    </row>
    <row r="15" spans="1:20" ht="54.75" customHeight="1" x14ac:dyDescent="0.25">
      <c r="A15" s="247" t="s">
        <v>366</v>
      </c>
      <c r="B15" s="933" t="s">
        <v>506</v>
      </c>
      <c r="C15" s="933"/>
      <c r="D15" s="933"/>
      <c r="E15" s="933"/>
      <c r="F15" s="933"/>
      <c r="G15" s="933"/>
      <c r="H15" s="933"/>
      <c r="I15" s="933"/>
      <c r="J15" s="246"/>
      <c r="K15" s="246"/>
    </row>
    <row r="16" spans="1:20" ht="47.25" customHeight="1" x14ac:dyDescent="0.25">
      <c r="A16" s="247" t="s">
        <v>369</v>
      </c>
      <c r="B16" s="933" t="s">
        <v>508</v>
      </c>
      <c r="C16" s="933"/>
      <c r="D16" s="933"/>
      <c r="E16" s="933"/>
      <c r="F16" s="933"/>
      <c r="G16" s="933"/>
      <c r="H16" s="933"/>
      <c r="I16" s="933"/>
      <c r="J16" s="242"/>
      <c r="K16" s="242"/>
    </row>
    <row r="17" spans="1:11" ht="37.5" customHeight="1" x14ac:dyDescent="0.25">
      <c r="A17" s="247" t="s">
        <v>370</v>
      </c>
      <c r="B17" s="933" t="s">
        <v>507</v>
      </c>
      <c r="C17" s="933"/>
      <c r="D17" s="933"/>
      <c r="E17" s="933"/>
      <c r="F17" s="933"/>
      <c r="G17" s="933"/>
      <c r="H17" s="933"/>
      <c r="I17" s="933"/>
      <c r="J17" s="242"/>
      <c r="K17" s="242"/>
    </row>
    <row r="18" spans="1:11" ht="36" customHeight="1" x14ac:dyDescent="0.25">
      <c r="A18" s="247" t="s">
        <v>509</v>
      </c>
      <c r="B18" s="934" t="s">
        <v>521</v>
      </c>
      <c r="C18" s="934"/>
      <c r="D18" s="934"/>
      <c r="E18" s="934"/>
      <c r="F18" s="934"/>
      <c r="G18" s="934"/>
      <c r="H18" s="934"/>
      <c r="I18" s="934"/>
      <c r="J18" s="243"/>
      <c r="K18" s="243"/>
    </row>
    <row r="19" spans="1:11" ht="22.5" customHeight="1" x14ac:dyDescent="0.25">
      <c r="A19" s="247" t="s">
        <v>372</v>
      </c>
      <c r="B19" s="935" t="s">
        <v>522</v>
      </c>
      <c r="C19" s="935"/>
      <c r="D19" s="935"/>
      <c r="E19" s="935"/>
      <c r="F19" s="935"/>
      <c r="G19" s="935"/>
      <c r="H19" s="935"/>
      <c r="I19" s="935"/>
      <c r="J19" s="244"/>
      <c r="K19" s="244"/>
    </row>
    <row r="20" spans="1:11" ht="21.75" customHeight="1" x14ac:dyDescent="0.25">
      <c r="A20" s="247" t="s">
        <v>510</v>
      </c>
      <c r="B20" s="934" t="s">
        <v>512</v>
      </c>
      <c r="C20" s="934"/>
      <c r="D20" s="934"/>
      <c r="E20" s="934"/>
      <c r="F20" s="934"/>
      <c r="G20" s="934"/>
      <c r="H20" s="934"/>
      <c r="I20" s="934"/>
      <c r="J20" s="243"/>
      <c r="K20" s="243"/>
    </row>
    <row r="21" spans="1:11" ht="19.5" customHeight="1" x14ac:dyDescent="0.25">
      <c r="A21" s="247" t="s">
        <v>513</v>
      </c>
      <c r="B21" s="934" t="s">
        <v>514</v>
      </c>
      <c r="C21" s="934"/>
      <c r="D21" s="934"/>
      <c r="E21" s="934"/>
      <c r="F21" s="934"/>
      <c r="G21" s="934"/>
      <c r="H21" s="934"/>
      <c r="I21" s="934"/>
      <c r="J21" s="243"/>
      <c r="K21" s="243"/>
    </row>
    <row r="22" spans="1:11" ht="21" customHeight="1" x14ac:dyDescent="0.25">
      <c r="A22" s="247" t="s">
        <v>373</v>
      </c>
      <c r="B22" s="934" t="s">
        <v>515</v>
      </c>
      <c r="C22" s="934"/>
      <c r="D22" s="934"/>
      <c r="E22" s="934"/>
      <c r="F22" s="934"/>
      <c r="G22" s="934"/>
      <c r="H22" s="934"/>
      <c r="I22" s="934"/>
      <c r="J22" s="243"/>
      <c r="K22" s="243"/>
    </row>
    <row r="23" spans="1:11" ht="21.75" customHeight="1" x14ac:dyDescent="0.25">
      <c r="A23" s="247" t="s">
        <v>511</v>
      </c>
      <c r="B23" s="936" t="s">
        <v>523</v>
      </c>
      <c r="C23" s="936"/>
      <c r="D23" s="936"/>
      <c r="E23" s="936"/>
      <c r="F23" s="936"/>
      <c r="G23" s="936"/>
      <c r="H23" s="936"/>
      <c r="I23" s="936"/>
      <c r="J23" s="253"/>
      <c r="K23" s="253"/>
    </row>
    <row r="24" spans="1:11" ht="20.25" customHeight="1" x14ac:dyDescent="0.25">
      <c r="A24" s="247" t="s">
        <v>374</v>
      </c>
      <c r="B24" s="930" t="s">
        <v>524</v>
      </c>
      <c r="C24" s="930"/>
      <c r="D24" s="930"/>
      <c r="E24" s="930"/>
      <c r="F24" s="930"/>
      <c r="G24" s="930"/>
      <c r="H24" s="930"/>
      <c r="I24" s="930"/>
      <c r="J24" s="245"/>
      <c r="K24" s="245"/>
    </row>
    <row r="25" spans="1:11" ht="21.75" customHeight="1" x14ac:dyDescent="0.25">
      <c r="A25" s="247" t="s">
        <v>376</v>
      </c>
      <c r="B25" s="930" t="s">
        <v>525</v>
      </c>
      <c r="C25" s="930"/>
      <c r="D25" s="930"/>
      <c r="E25" s="930"/>
      <c r="F25" s="930"/>
      <c r="G25" s="930"/>
      <c r="H25" s="930"/>
      <c r="I25" s="930"/>
      <c r="J25" s="245"/>
      <c r="K25" s="245"/>
    </row>
    <row r="26" spans="1:11" ht="21" customHeight="1" x14ac:dyDescent="0.25">
      <c r="A26" s="247" t="s">
        <v>377</v>
      </c>
      <c r="B26" s="930" t="s">
        <v>516</v>
      </c>
      <c r="C26" s="930"/>
      <c r="D26" s="930"/>
      <c r="E26" s="930"/>
      <c r="F26" s="930"/>
      <c r="G26" s="930"/>
      <c r="H26" s="930"/>
      <c r="I26" s="930"/>
      <c r="J26" s="245"/>
      <c r="K26" s="245"/>
    </row>
    <row r="27" spans="1:11" ht="35.25" customHeight="1" x14ac:dyDescent="0.25">
      <c r="A27" s="247" t="s">
        <v>378</v>
      </c>
      <c r="B27" s="928" t="s">
        <v>519</v>
      </c>
      <c r="C27" s="928"/>
      <c r="D27" s="928"/>
      <c r="E27" s="928"/>
      <c r="F27" s="928"/>
      <c r="G27" s="928"/>
      <c r="H27" s="928"/>
      <c r="I27" s="928"/>
      <c r="J27" s="243"/>
      <c r="K27" s="243"/>
    </row>
    <row r="28" spans="1:11" ht="36.75" customHeight="1" x14ac:dyDescent="0.25">
      <c r="A28" s="247" t="s">
        <v>379</v>
      </c>
      <c r="B28" s="934" t="s">
        <v>520</v>
      </c>
      <c r="C28" s="934"/>
      <c r="D28" s="934"/>
      <c r="E28" s="934"/>
      <c r="F28" s="934"/>
      <c r="G28" s="934"/>
      <c r="H28" s="934"/>
      <c r="I28" s="934"/>
      <c r="J28" s="251"/>
      <c r="K28" s="251"/>
    </row>
    <row r="29" spans="1:11" ht="34.5" customHeight="1" x14ac:dyDescent="0.25">
      <c r="A29" s="247" t="s">
        <v>380</v>
      </c>
      <c r="B29" s="928" t="s">
        <v>518</v>
      </c>
      <c r="C29" s="928"/>
      <c r="D29" s="928"/>
      <c r="E29" s="928"/>
      <c r="F29" s="928"/>
      <c r="G29" s="928"/>
      <c r="H29" s="928"/>
      <c r="I29" s="928"/>
      <c r="J29" s="251"/>
    </row>
    <row r="30" spans="1:11" ht="15" customHeight="1" x14ac:dyDescent="0.25">
      <c r="A30" s="247" t="s">
        <v>381</v>
      </c>
      <c r="B30" s="937" t="s">
        <v>517</v>
      </c>
      <c r="C30" s="937"/>
      <c r="D30" s="937"/>
      <c r="E30" s="937"/>
      <c r="F30" s="937"/>
      <c r="G30" s="937"/>
      <c r="H30" s="937"/>
      <c r="I30" s="937"/>
      <c r="J30" s="252"/>
      <c r="K30" s="252"/>
    </row>
    <row r="31" spans="1:11" x14ac:dyDescent="0.25">
      <c r="A31" s="247"/>
      <c r="B31" s="247"/>
      <c r="C31" s="247"/>
      <c r="D31" s="247"/>
      <c r="E31" s="247"/>
      <c r="F31" s="247"/>
      <c r="G31" s="247"/>
      <c r="H31" s="247"/>
      <c r="I31" s="247"/>
      <c r="J31" s="240"/>
      <c r="K31" s="240"/>
    </row>
    <row r="32" spans="1:11" x14ac:dyDescent="0.25">
      <c r="A32" s="247"/>
      <c r="B32" s="247"/>
      <c r="C32" s="247"/>
      <c r="D32" s="247"/>
      <c r="E32" s="247"/>
      <c r="F32" s="247"/>
      <c r="G32" s="247"/>
      <c r="H32" s="247"/>
      <c r="I32" s="247"/>
      <c r="J32" s="240"/>
      <c r="K32" s="240"/>
    </row>
    <row r="33" spans="1:11" x14ac:dyDescent="0.25">
      <c r="A33" s="247"/>
      <c r="B33" s="247"/>
      <c r="C33" s="247"/>
      <c r="D33" s="247"/>
      <c r="E33" s="247"/>
      <c r="F33" s="247"/>
      <c r="G33" s="247"/>
      <c r="H33" s="247"/>
      <c r="I33" s="247"/>
      <c r="J33" s="240"/>
      <c r="K33" s="240"/>
    </row>
    <row r="34" spans="1:11" x14ac:dyDescent="0.25">
      <c r="A34" s="247"/>
      <c r="B34" s="247"/>
      <c r="C34" s="247"/>
      <c r="D34" s="247"/>
      <c r="E34" s="247"/>
      <c r="F34" s="247"/>
      <c r="G34" s="247"/>
      <c r="H34" s="247"/>
      <c r="I34" s="247"/>
      <c r="J34" s="240"/>
      <c r="K34" s="240"/>
    </row>
    <row r="35" spans="1:11" x14ac:dyDescent="0.25">
      <c r="A35" s="247"/>
      <c r="B35" s="247"/>
      <c r="C35" s="247"/>
      <c r="D35" s="247"/>
      <c r="E35" s="247"/>
      <c r="F35" s="247"/>
      <c r="G35" s="247"/>
      <c r="H35" s="247"/>
      <c r="I35" s="247"/>
      <c r="J35" s="240"/>
      <c r="K35" s="240"/>
    </row>
    <row r="36" spans="1:11" x14ac:dyDescent="0.25">
      <c r="A36" s="247"/>
      <c r="B36" s="247"/>
      <c r="C36" s="247"/>
      <c r="D36" s="247"/>
      <c r="E36" s="247"/>
      <c r="F36" s="247"/>
      <c r="G36" s="247"/>
      <c r="H36" s="247"/>
      <c r="I36" s="247"/>
      <c r="J36" s="240"/>
      <c r="K36" s="240"/>
    </row>
    <row r="37" spans="1:11" x14ac:dyDescent="0.25">
      <c r="A37" s="247"/>
      <c r="B37" s="247"/>
      <c r="C37" s="247"/>
      <c r="D37" s="247"/>
      <c r="E37" s="247"/>
      <c r="F37" s="247"/>
      <c r="G37" s="247"/>
      <c r="H37" s="247"/>
      <c r="I37" s="247"/>
      <c r="J37" s="240"/>
      <c r="K37" s="240"/>
    </row>
    <row r="38" spans="1:11" x14ac:dyDescent="0.25">
      <c r="A38" s="247"/>
      <c r="B38" s="247"/>
      <c r="C38" s="247"/>
      <c r="D38" s="247"/>
      <c r="E38" s="247"/>
      <c r="F38" s="247"/>
      <c r="G38" s="247"/>
      <c r="H38" s="247"/>
      <c r="I38" s="247"/>
      <c r="J38" s="240"/>
      <c r="K38" s="240"/>
    </row>
    <row r="39" spans="1:11" x14ac:dyDescent="0.25">
      <c r="A39" s="247"/>
      <c r="B39" s="247"/>
      <c r="C39" s="247"/>
      <c r="D39" s="247"/>
      <c r="E39" s="247"/>
      <c r="F39" s="247"/>
      <c r="G39" s="247"/>
      <c r="H39" s="247"/>
      <c r="I39" s="247"/>
      <c r="J39" s="240"/>
      <c r="K39" s="240"/>
    </row>
    <row r="40" spans="1:11" x14ac:dyDescent="0.25">
      <c r="A40" s="247"/>
      <c r="B40" s="247"/>
      <c r="C40" s="247"/>
      <c r="D40" s="247"/>
      <c r="E40" s="247"/>
      <c r="F40" s="247"/>
      <c r="G40" s="247"/>
      <c r="H40" s="247"/>
      <c r="I40" s="247"/>
      <c r="J40" s="240"/>
      <c r="K40" s="240"/>
    </row>
    <row r="41" spans="1:11" x14ac:dyDescent="0.25">
      <c r="A41" s="247"/>
      <c r="B41" s="247"/>
      <c r="C41" s="247"/>
      <c r="D41" s="247"/>
      <c r="E41" s="247"/>
      <c r="F41" s="247"/>
      <c r="G41" s="247"/>
      <c r="H41" s="247"/>
      <c r="I41" s="247"/>
      <c r="J41" s="240"/>
      <c r="K41" s="240"/>
    </row>
    <row r="42" spans="1:11" x14ac:dyDescent="0.25">
      <c r="A42" s="247"/>
      <c r="B42" s="247"/>
      <c r="C42" s="247"/>
      <c r="D42" s="247"/>
      <c r="E42" s="247"/>
      <c r="F42" s="247"/>
      <c r="G42" s="247"/>
      <c r="H42" s="247"/>
      <c r="I42" s="247"/>
      <c r="J42" s="240"/>
      <c r="K42" s="240"/>
    </row>
    <row r="43" spans="1:11" x14ac:dyDescent="0.25">
      <c r="A43" s="247"/>
      <c r="B43" s="247"/>
      <c r="C43" s="247"/>
      <c r="D43" s="247"/>
      <c r="E43" s="247"/>
      <c r="F43" s="247"/>
      <c r="G43" s="247"/>
      <c r="H43" s="247"/>
      <c r="I43" s="247"/>
      <c r="J43" s="240"/>
      <c r="K43" s="240"/>
    </row>
    <row r="44" spans="1:11" x14ac:dyDescent="0.25">
      <c r="A44" s="247"/>
      <c r="B44" s="247"/>
      <c r="C44" s="247"/>
      <c r="D44" s="247"/>
      <c r="E44" s="247"/>
      <c r="F44" s="247"/>
      <c r="G44" s="247"/>
      <c r="H44" s="247"/>
      <c r="I44" s="247"/>
      <c r="J44" s="240"/>
      <c r="K44" s="240"/>
    </row>
    <row r="45" spans="1:11" x14ac:dyDescent="0.25">
      <c r="A45" s="247"/>
      <c r="B45" s="247"/>
      <c r="C45" s="247"/>
      <c r="D45" s="247"/>
      <c r="E45" s="247"/>
      <c r="F45" s="247"/>
      <c r="G45" s="247"/>
      <c r="H45" s="247"/>
      <c r="I45" s="247"/>
      <c r="J45" s="240"/>
      <c r="K45" s="240"/>
    </row>
    <row r="46" spans="1:11" x14ac:dyDescent="0.25">
      <c r="A46" s="247"/>
      <c r="B46" s="247"/>
      <c r="C46" s="247"/>
      <c r="D46" s="247"/>
      <c r="E46" s="247"/>
      <c r="F46" s="247"/>
      <c r="G46" s="247"/>
      <c r="H46" s="247"/>
      <c r="I46" s="247"/>
      <c r="J46" s="240"/>
      <c r="K46" s="240"/>
    </row>
    <row r="47" spans="1:11" x14ac:dyDescent="0.25">
      <c r="A47" s="247"/>
      <c r="B47" s="247"/>
      <c r="C47" s="247"/>
      <c r="D47" s="247"/>
      <c r="E47" s="247"/>
      <c r="F47" s="247"/>
      <c r="G47" s="247"/>
      <c r="H47" s="247"/>
      <c r="I47" s="247"/>
      <c r="J47" s="240"/>
      <c r="K47" s="240"/>
    </row>
    <row r="48" spans="1:11" x14ac:dyDescent="0.25">
      <c r="A48" s="247"/>
      <c r="B48" s="247"/>
      <c r="C48" s="247"/>
      <c r="D48" s="247"/>
      <c r="E48" s="247"/>
      <c r="F48" s="247"/>
      <c r="G48" s="247"/>
      <c r="H48" s="247"/>
      <c r="I48" s="247"/>
      <c r="J48" s="240"/>
      <c r="K48" s="240"/>
    </row>
  </sheetData>
  <mergeCells count="25">
    <mergeCell ref="B30:I30"/>
    <mergeCell ref="B24:I24"/>
    <mergeCell ref="B25:I25"/>
    <mergeCell ref="B26:I26"/>
    <mergeCell ref="B27:I27"/>
    <mergeCell ref="B28:I28"/>
    <mergeCell ref="B29:I29"/>
    <mergeCell ref="B18:I18"/>
    <mergeCell ref="B19:I19"/>
    <mergeCell ref="B20:I20"/>
    <mergeCell ref="B21:I21"/>
    <mergeCell ref="B22:I22"/>
    <mergeCell ref="B23:I23"/>
    <mergeCell ref="B12:I12"/>
    <mergeCell ref="B13:I13"/>
    <mergeCell ref="B14:I14"/>
    <mergeCell ref="B15:I15"/>
    <mergeCell ref="B16:I16"/>
    <mergeCell ref="B17:I17"/>
    <mergeCell ref="B5:I5"/>
    <mergeCell ref="B6:I6"/>
    <mergeCell ref="B8:I8"/>
    <mergeCell ref="B9:I9"/>
    <mergeCell ref="B10:I10"/>
    <mergeCell ref="B11:I1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24"/>
  <sheetViews>
    <sheetView workbookViewId="0">
      <selection sqref="A1:E1"/>
    </sheetView>
  </sheetViews>
  <sheetFormatPr defaultRowHeight="15.75" x14ac:dyDescent="0.25"/>
  <cols>
    <col min="1" max="1" width="23.42578125" style="56" customWidth="1"/>
    <col min="2" max="2" width="28.85546875" style="53" customWidth="1"/>
    <col min="3" max="3" width="22.42578125" style="53" customWidth="1"/>
    <col min="4" max="4" width="29" style="53" customWidth="1"/>
    <col min="5" max="5" width="19.28515625" style="53" customWidth="1"/>
    <col min="6" max="8" width="9.140625" style="53" customWidth="1"/>
    <col min="9" max="16384" width="9.140625" style="53"/>
  </cols>
  <sheetData>
    <row r="1" spans="1:5" ht="54" customHeight="1" thickBot="1" x14ac:dyDescent="0.3">
      <c r="A1" s="1035" t="s">
        <v>530</v>
      </c>
      <c r="B1" s="1035"/>
      <c r="C1" s="1035"/>
      <c r="D1" s="1035"/>
      <c r="E1" s="1035"/>
    </row>
    <row r="2" spans="1:5" s="54" customFormat="1" ht="99.75" customHeight="1" thickBot="1" x14ac:dyDescent="0.3">
      <c r="A2" s="492" t="s">
        <v>47</v>
      </c>
      <c r="B2" s="493" t="s">
        <v>528</v>
      </c>
      <c r="C2" s="494" t="s">
        <v>162</v>
      </c>
      <c r="D2" s="494" t="s">
        <v>529</v>
      </c>
      <c r="E2" s="495" t="s">
        <v>429</v>
      </c>
    </row>
    <row r="3" spans="1:5" x14ac:dyDescent="0.25">
      <c r="A3" s="496" t="s">
        <v>25</v>
      </c>
      <c r="B3" s="818">
        <v>2352495</v>
      </c>
      <c r="C3" s="819">
        <v>1445</v>
      </c>
      <c r="D3" s="820">
        <v>2586785</v>
      </c>
      <c r="E3" s="821">
        <v>1616</v>
      </c>
    </row>
    <row r="4" spans="1:5" x14ac:dyDescent="0.25">
      <c r="A4" s="499" t="s">
        <v>33</v>
      </c>
      <c r="B4" s="822">
        <v>1611605</v>
      </c>
      <c r="C4" s="823">
        <v>1210</v>
      </c>
      <c r="D4" s="824">
        <v>1874264</v>
      </c>
      <c r="E4" s="825">
        <v>1106</v>
      </c>
    </row>
    <row r="5" spans="1:5" x14ac:dyDescent="0.25">
      <c r="A5" s="499" t="s">
        <v>31</v>
      </c>
      <c r="B5" s="822">
        <v>2726068.78</v>
      </c>
      <c r="C5" s="823">
        <v>1427</v>
      </c>
      <c r="D5" s="824">
        <v>3201224</v>
      </c>
      <c r="E5" s="825">
        <v>1545</v>
      </c>
    </row>
    <row r="6" spans="1:5" x14ac:dyDescent="0.25">
      <c r="A6" s="499" t="s">
        <v>36</v>
      </c>
      <c r="B6" s="822">
        <v>586375.27</v>
      </c>
      <c r="C6" s="823">
        <v>360</v>
      </c>
      <c r="D6" s="824">
        <v>562850</v>
      </c>
      <c r="E6" s="825">
        <v>314</v>
      </c>
    </row>
    <row r="7" spans="1:5" x14ac:dyDescent="0.25">
      <c r="A7" s="499" t="s">
        <v>111</v>
      </c>
      <c r="B7" s="822">
        <v>343920</v>
      </c>
      <c r="C7" s="823">
        <v>223</v>
      </c>
      <c r="D7" s="824">
        <v>473255</v>
      </c>
      <c r="E7" s="825">
        <v>395</v>
      </c>
    </row>
    <row r="8" spans="1:5" x14ac:dyDescent="0.25">
      <c r="A8" s="499" t="s">
        <v>30</v>
      </c>
      <c r="B8" s="822">
        <v>1360125</v>
      </c>
      <c r="C8" s="823">
        <v>1367</v>
      </c>
      <c r="D8" s="824">
        <v>1409130</v>
      </c>
      <c r="E8" s="825">
        <v>1304</v>
      </c>
    </row>
    <row r="9" spans="1:5" x14ac:dyDescent="0.25">
      <c r="A9" s="499" t="s">
        <v>172</v>
      </c>
      <c r="B9" s="822">
        <v>1484025</v>
      </c>
      <c r="C9" s="823">
        <v>1164</v>
      </c>
      <c r="D9" s="824">
        <v>1596630</v>
      </c>
      <c r="E9" s="825">
        <v>1615</v>
      </c>
    </row>
    <row r="10" spans="1:5" x14ac:dyDescent="0.25">
      <c r="A10" s="499" t="s">
        <v>34</v>
      </c>
      <c r="B10" s="822">
        <v>700715</v>
      </c>
      <c r="C10" s="823">
        <v>582</v>
      </c>
      <c r="D10" s="824">
        <v>715845</v>
      </c>
      <c r="E10" s="825">
        <v>606</v>
      </c>
    </row>
    <row r="11" spans="1:5" x14ac:dyDescent="0.25">
      <c r="A11" s="499" t="s">
        <v>26</v>
      </c>
      <c r="B11" s="822">
        <v>1686930.01</v>
      </c>
      <c r="C11" s="823">
        <v>1427</v>
      </c>
      <c r="D11" s="824">
        <v>1744920</v>
      </c>
      <c r="E11" s="825">
        <v>1365</v>
      </c>
    </row>
    <row r="12" spans="1:5" x14ac:dyDescent="0.25">
      <c r="A12" s="499" t="s">
        <v>27</v>
      </c>
      <c r="B12" s="822">
        <v>3246145</v>
      </c>
      <c r="C12" s="823">
        <v>2204</v>
      </c>
      <c r="D12" s="824">
        <v>3432620</v>
      </c>
      <c r="E12" s="825">
        <v>2401</v>
      </c>
    </row>
    <row r="13" spans="1:5" x14ac:dyDescent="0.25">
      <c r="A13" s="499" t="s">
        <v>49</v>
      </c>
      <c r="B13" s="822">
        <v>1385235</v>
      </c>
      <c r="C13" s="823">
        <v>757</v>
      </c>
      <c r="D13" s="824">
        <v>1526190</v>
      </c>
      <c r="E13" s="825">
        <v>894</v>
      </c>
    </row>
    <row r="14" spans="1:5" x14ac:dyDescent="0.25">
      <c r="A14" s="499" t="s">
        <v>386</v>
      </c>
      <c r="B14" s="822">
        <v>578250.4</v>
      </c>
      <c r="C14" s="823">
        <v>362</v>
      </c>
      <c r="D14" s="824">
        <v>508225</v>
      </c>
      <c r="E14" s="825">
        <v>292</v>
      </c>
    </row>
    <row r="15" spans="1:5" x14ac:dyDescent="0.25">
      <c r="A15" s="499" t="s">
        <v>29</v>
      </c>
      <c r="B15" s="822">
        <v>1296902.1000000001</v>
      </c>
      <c r="C15" s="823">
        <v>1053</v>
      </c>
      <c r="D15" s="824">
        <v>1193670</v>
      </c>
      <c r="E15" s="825">
        <v>960</v>
      </c>
    </row>
    <row r="16" spans="1:5" x14ac:dyDescent="0.25">
      <c r="A16" s="499" t="s">
        <v>32</v>
      </c>
      <c r="B16" s="822">
        <v>1096820</v>
      </c>
      <c r="C16" s="823">
        <v>696</v>
      </c>
      <c r="D16" s="824">
        <v>1059655</v>
      </c>
      <c r="E16" s="825">
        <v>635</v>
      </c>
    </row>
    <row r="17" spans="1:5" x14ac:dyDescent="0.25">
      <c r="A17" s="499" t="s">
        <v>38</v>
      </c>
      <c r="B17" s="822">
        <v>669345</v>
      </c>
      <c r="C17" s="823">
        <v>480</v>
      </c>
      <c r="D17" s="824">
        <v>648245</v>
      </c>
      <c r="E17" s="825">
        <v>467</v>
      </c>
    </row>
    <row r="18" spans="1:5" x14ac:dyDescent="0.25">
      <c r="A18" s="499" t="s">
        <v>43</v>
      </c>
      <c r="B18" s="822">
        <v>148945</v>
      </c>
      <c r="C18" s="823">
        <v>125</v>
      </c>
      <c r="D18" s="824">
        <v>175104</v>
      </c>
      <c r="E18" s="825">
        <v>129</v>
      </c>
    </row>
    <row r="19" spans="1:5" x14ac:dyDescent="0.25">
      <c r="A19" s="499" t="s">
        <v>45</v>
      </c>
      <c r="B19" s="822">
        <v>115580</v>
      </c>
      <c r="C19" s="823">
        <v>88</v>
      </c>
      <c r="D19" s="824">
        <v>110410</v>
      </c>
      <c r="E19" s="825">
        <v>94</v>
      </c>
    </row>
    <row r="20" spans="1:5" x14ac:dyDescent="0.25">
      <c r="A20" s="499" t="s">
        <v>173</v>
      </c>
      <c r="B20" s="822">
        <v>209675</v>
      </c>
      <c r="C20" s="823">
        <v>113</v>
      </c>
      <c r="D20" s="824">
        <v>257375</v>
      </c>
      <c r="E20" s="825">
        <v>125</v>
      </c>
    </row>
    <row r="21" spans="1:5" x14ac:dyDescent="0.25">
      <c r="A21" s="499" t="s">
        <v>35</v>
      </c>
      <c r="B21" s="822">
        <v>1291390</v>
      </c>
      <c r="C21" s="823">
        <v>633</v>
      </c>
      <c r="D21" s="824">
        <v>1347790</v>
      </c>
      <c r="E21" s="825">
        <v>641</v>
      </c>
    </row>
    <row r="22" spans="1:5" ht="16.5" thickBot="1" x14ac:dyDescent="0.3">
      <c r="A22" s="502" t="s">
        <v>42</v>
      </c>
      <c r="B22" s="826">
        <v>339609.48</v>
      </c>
      <c r="C22" s="827">
        <v>191</v>
      </c>
      <c r="D22" s="824">
        <v>363132</v>
      </c>
      <c r="E22" s="825">
        <v>324</v>
      </c>
    </row>
    <row r="23" spans="1:5" s="55" customFormat="1" ht="16.5" thickBot="1" x14ac:dyDescent="0.3">
      <c r="A23" s="505" t="s">
        <v>18</v>
      </c>
      <c r="B23" s="828">
        <f>SUM(B3:B22)</f>
        <v>23230156.039999999</v>
      </c>
      <c r="C23" s="817">
        <f>SUM(C3:C22)</f>
        <v>15907</v>
      </c>
      <c r="D23" s="829">
        <f>SUM(D3:D22)</f>
        <v>24787319</v>
      </c>
      <c r="E23" s="830">
        <f>SUM(E3:E22)</f>
        <v>16828</v>
      </c>
    </row>
    <row r="24" spans="1:5" x14ac:dyDescent="0.25">
      <c r="E24" s="460" t="s">
        <v>497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24"/>
  <sheetViews>
    <sheetView zoomScaleNormal="100" workbookViewId="0">
      <selection sqref="A1:I1"/>
    </sheetView>
  </sheetViews>
  <sheetFormatPr defaultColWidth="22.5703125" defaultRowHeight="15.75" x14ac:dyDescent="0.25"/>
  <cols>
    <col min="1" max="1" width="18.42578125" style="75" customWidth="1"/>
    <col min="2" max="2" width="14.5703125" style="391" customWidth="1"/>
    <col min="3" max="3" width="13.85546875" style="391" customWidth="1"/>
    <col min="4" max="4" width="14.42578125" style="391" customWidth="1"/>
    <col min="5" max="5" width="15.140625" style="391" customWidth="1"/>
    <col min="6" max="6" width="15.28515625" style="391" customWidth="1"/>
    <col min="7" max="9" width="14.28515625" style="391" customWidth="1"/>
    <col min="10" max="16384" width="22.5703125" style="391"/>
  </cols>
  <sheetData>
    <row r="1" spans="1:9" ht="30" customHeight="1" thickBot="1" x14ac:dyDescent="0.3">
      <c r="A1" s="1036" t="s">
        <v>492</v>
      </c>
      <c r="B1" s="1036"/>
      <c r="C1" s="1036"/>
      <c r="D1" s="1036"/>
      <c r="E1" s="1036"/>
      <c r="F1" s="1036"/>
      <c r="G1" s="1036"/>
      <c r="H1" s="1036"/>
      <c r="I1" s="1036"/>
    </row>
    <row r="2" spans="1:9" s="392" customFormat="1" ht="92.25" customHeight="1" thickBot="1" x14ac:dyDescent="0.3">
      <c r="A2" s="506" t="s">
        <v>47</v>
      </c>
      <c r="B2" s="507" t="s">
        <v>189</v>
      </c>
      <c r="C2" s="508" t="s">
        <v>430</v>
      </c>
      <c r="D2" s="508" t="s">
        <v>431</v>
      </c>
      <c r="E2" s="509" t="s">
        <v>190</v>
      </c>
      <c r="F2" s="510" t="s">
        <v>407</v>
      </c>
      <c r="G2" s="511" t="s">
        <v>493</v>
      </c>
      <c r="H2" s="511" t="s">
        <v>408</v>
      </c>
      <c r="I2" s="512" t="s">
        <v>409</v>
      </c>
    </row>
    <row r="3" spans="1:9" x14ac:dyDescent="0.25">
      <c r="A3" s="513" t="s">
        <v>25</v>
      </c>
      <c r="B3" s="514">
        <v>10984</v>
      </c>
      <c r="C3" s="515">
        <v>0</v>
      </c>
      <c r="D3" s="515">
        <f>B3+C3</f>
        <v>10984</v>
      </c>
      <c r="E3" s="516">
        <v>435</v>
      </c>
      <c r="F3" s="517">
        <v>10921</v>
      </c>
      <c r="G3" s="518">
        <v>0</v>
      </c>
      <c r="H3" s="518">
        <f>F3+G3</f>
        <v>10921</v>
      </c>
      <c r="I3" s="519">
        <v>650</v>
      </c>
    </row>
    <row r="4" spans="1:9" x14ac:dyDescent="0.25">
      <c r="A4" s="520" t="s">
        <v>33</v>
      </c>
      <c r="B4" s="521">
        <v>1951</v>
      </c>
      <c r="C4" s="522">
        <v>664</v>
      </c>
      <c r="D4" s="522">
        <f t="shared" ref="D4:D22" si="0">B4+C4</f>
        <v>2615</v>
      </c>
      <c r="E4" s="523">
        <v>739</v>
      </c>
      <c r="F4" s="524">
        <v>1951</v>
      </c>
      <c r="G4" s="525">
        <v>820</v>
      </c>
      <c r="H4" s="525">
        <f t="shared" ref="H4:H22" si="1">F4+G4</f>
        <v>2771</v>
      </c>
      <c r="I4" s="526">
        <v>585</v>
      </c>
    </row>
    <row r="5" spans="1:9" x14ac:dyDescent="0.25">
      <c r="A5" s="520" t="s">
        <v>31</v>
      </c>
      <c r="B5" s="521">
        <v>1921</v>
      </c>
      <c r="C5" s="522">
        <v>236</v>
      </c>
      <c r="D5" s="522">
        <f t="shared" si="0"/>
        <v>2157</v>
      </c>
      <c r="E5" s="523">
        <v>671</v>
      </c>
      <c r="F5" s="524">
        <v>1933</v>
      </c>
      <c r="G5" s="525">
        <v>87</v>
      </c>
      <c r="H5" s="525">
        <f t="shared" si="1"/>
        <v>2020</v>
      </c>
      <c r="I5" s="526">
        <v>542</v>
      </c>
    </row>
    <row r="6" spans="1:9" x14ac:dyDescent="0.25">
      <c r="A6" s="520" t="s">
        <v>36</v>
      </c>
      <c r="B6" s="521">
        <v>237</v>
      </c>
      <c r="C6" s="522">
        <v>149</v>
      </c>
      <c r="D6" s="522">
        <f t="shared" si="0"/>
        <v>386</v>
      </c>
      <c r="E6" s="523">
        <v>118</v>
      </c>
      <c r="F6" s="524">
        <v>237</v>
      </c>
      <c r="G6" s="525">
        <v>375</v>
      </c>
      <c r="H6" s="525">
        <f t="shared" si="1"/>
        <v>612</v>
      </c>
      <c r="I6" s="526">
        <v>213</v>
      </c>
    </row>
    <row r="7" spans="1:9" x14ac:dyDescent="0.25">
      <c r="A7" s="520" t="s">
        <v>111</v>
      </c>
      <c r="B7" s="521">
        <v>899</v>
      </c>
      <c r="C7" s="522">
        <v>0</v>
      </c>
      <c r="D7" s="522">
        <f t="shared" si="0"/>
        <v>899</v>
      </c>
      <c r="E7" s="523">
        <v>0</v>
      </c>
      <c r="F7" s="524">
        <v>899</v>
      </c>
      <c r="G7" s="525">
        <v>0</v>
      </c>
      <c r="H7" s="525">
        <f t="shared" si="1"/>
        <v>899</v>
      </c>
      <c r="I7" s="526">
        <v>183</v>
      </c>
    </row>
    <row r="8" spans="1:9" x14ac:dyDescent="0.25">
      <c r="A8" s="520" t="s">
        <v>30</v>
      </c>
      <c r="B8" s="521">
        <v>1235</v>
      </c>
      <c r="C8" s="522">
        <v>445</v>
      </c>
      <c r="D8" s="522">
        <f t="shared" si="0"/>
        <v>1680</v>
      </c>
      <c r="E8" s="523">
        <v>2845</v>
      </c>
      <c r="F8" s="524">
        <v>1235</v>
      </c>
      <c r="G8" s="525">
        <v>482</v>
      </c>
      <c r="H8" s="525">
        <f t="shared" si="1"/>
        <v>1717</v>
      </c>
      <c r="I8" s="526">
        <v>2683</v>
      </c>
    </row>
    <row r="9" spans="1:9" ht="30" x14ac:dyDescent="0.25">
      <c r="A9" s="520" t="s">
        <v>172</v>
      </c>
      <c r="B9" s="521">
        <v>2565</v>
      </c>
      <c r="C9" s="522"/>
      <c r="D9" s="522">
        <f t="shared" si="0"/>
        <v>2565</v>
      </c>
      <c r="E9" s="523">
        <v>804</v>
      </c>
      <c r="F9" s="524">
        <v>2565</v>
      </c>
      <c r="G9" s="525">
        <v>0</v>
      </c>
      <c r="H9" s="525">
        <f t="shared" si="1"/>
        <v>2565</v>
      </c>
      <c r="I9" s="526">
        <v>900</v>
      </c>
    </row>
    <row r="10" spans="1:9" x14ac:dyDescent="0.25">
      <c r="A10" s="520" t="s">
        <v>34</v>
      </c>
      <c r="B10" s="521">
        <v>0</v>
      </c>
      <c r="C10" s="522">
        <v>659</v>
      </c>
      <c r="D10" s="522">
        <f t="shared" si="0"/>
        <v>659</v>
      </c>
      <c r="E10" s="523">
        <v>0</v>
      </c>
      <c r="F10" s="524">
        <v>0</v>
      </c>
      <c r="G10" s="525">
        <v>629</v>
      </c>
      <c r="H10" s="525">
        <f t="shared" si="1"/>
        <v>629</v>
      </c>
      <c r="I10" s="526">
        <v>0</v>
      </c>
    </row>
    <row r="11" spans="1:9" x14ac:dyDescent="0.25">
      <c r="A11" s="520" t="s">
        <v>26</v>
      </c>
      <c r="B11" s="521">
        <v>8220</v>
      </c>
      <c r="C11" s="522">
        <v>0</v>
      </c>
      <c r="D11" s="522">
        <f t="shared" si="0"/>
        <v>8220</v>
      </c>
      <c r="E11" s="523">
        <v>423</v>
      </c>
      <c r="F11" s="524">
        <v>8220</v>
      </c>
      <c r="G11" s="525">
        <v>0</v>
      </c>
      <c r="H11" s="525">
        <f t="shared" si="1"/>
        <v>8220</v>
      </c>
      <c r="I11" s="526">
        <v>685</v>
      </c>
    </row>
    <row r="12" spans="1:9" x14ac:dyDescent="0.25">
      <c r="A12" s="520" t="s">
        <v>27</v>
      </c>
      <c r="B12" s="521">
        <v>5821</v>
      </c>
      <c r="C12" s="522"/>
      <c r="D12" s="522">
        <f t="shared" si="0"/>
        <v>5821</v>
      </c>
      <c r="E12" s="523">
        <v>0</v>
      </c>
      <c r="F12" s="524">
        <v>5821</v>
      </c>
      <c r="G12" s="525">
        <v>0</v>
      </c>
      <c r="H12" s="525">
        <f t="shared" si="1"/>
        <v>5821</v>
      </c>
      <c r="I12" s="526">
        <v>0</v>
      </c>
    </row>
    <row r="13" spans="1:9" x14ac:dyDescent="0.25">
      <c r="A13" s="520" t="s">
        <v>49</v>
      </c>
      <c r="B13" s="521">
        <v>5048</v>
      </c>
      <c r="C13" s="522">
        <v>14</v>
      </c>
      <c r="D13" s="522">
        <f t="shared" si="0"/>
        <v>5062</v>
      </c>
      <c r="E13" s="523">
        <v>0</v>
      </c>
      <c r="F13" s="524">
        <v>5048</v>
      </c>
      <c r="G13" s="525">
        <v>10</v>
      </c>
      <c r="H13" s="525">
        <f t="shared" si="1"/>
        <v>5058</v>
      </c>
      <c r="I13" s="526">
        <v>0</v>
      </c>
    </row>
    <row r="14" spans="1:9" x14ac:dyDescent="0.25">
      <c r="A14" s="520" t="s">
        <v>386</v>
      </c>
      <c r="B14" s="521">
        <v>318</v>
      </c>
      <c r="C14" s="522">
        <v>321</v>
      </c>
      <c r="D14" s="522">
        <f t="shared" si="0"/>
        <v>639</v>
      </c>
      <c r="E14" s="523">
        <v>220</v>
      </c>
      <c r="F14" s="524">
        <v>300</v>
      </c>
      <c r="G14" s="525">
        <v>365</v>
      </c>
      <c r="H14" s="525">
        <f t="shared" si="1"/>
        <v>665</v>
      </c>
      <c r="I14" s="526">
        <v>0</v>
      </c>
    </row>
    <row r="15" spans="1:9" x14ac:dyDescent="0.25">
      <c r="A15" s="520" t="s">
        <v>29</v>
      </c>
      <c r="B15" s="521">
        <v>3011</v>
      </c>
      <c r="C15" s="522">
        <v>150</v>
      </c>
      <c r="D15" s="522">
        <f t="shared" si="0"/>
        <v>3161</v>
      </c>
      <c r="E15" s="523">
        <v>83</v>
      </c>
      <c r="F15" s="524">
        <v>3011</v>
      </c>
      <c r="G15" s="525">
        <v>181</v>
      </c>
      <c r="H15" s="525">
        <f t="shared" si="1"/>
        <v>3192</v>
      </c>
      <c r="I15" s="526">
        <v>209</v>
      </c>
    </row>
    <row r="16" spans="1:9" x14ac:dyDescent="0.25">
      <c r="A16" s="520" t="s">
        <v>32</v>
      </c>
      <c r="B16" s="521">
        <v>2825</v>
      </c>
      <c r="C16" s="522">
        <v>0</v>
      </c>
      <c r="D16" s="522">
        <f t="shared" si="0"/>
        <v>2825</v>
      </c>
      <c r="E16" s="523">
        <v>1839</v>
      </c>
      <c r="F16" s="524">
        <v>2825</v>
      </c>
      <c r="G16" s="525">
        <v>0</v>
      </c>
      <c r="H16" s="525">
        <f t="shared" si="1"/>
        <v>2825</v>
      </c>
      <c r="I16" s="526">
        <v>1030</v>
      </c>
    </row>
    <row r="17" spans="1:9" x14ac:dyDescent="0.25">
      <c r="A17" s="520" t="s">
        <v>38</v>
      </c>
      <c r="B17" s="521">
        <v>1524</v>
      </c>
      <c r="C17" s="522">
        <v>0</v>
      </c>
      <c r="D17" s="522">
        <f t="shared" si="0"/>
        <v>1524</v>
      </c>
      <c r="E17" s="523">
        <v>0</v>
      </c>
      <c r="F17" s="524">
        <v>1524</v>
      </c>
      <c r="G17" s="525">
        <v>0</v>
      </c>
      <c r="H17" s="525">
        <f t="shared" si="1"/>
        <v>1524</v>
      </c>
      <c r="I17" s="526">
        <v>137</v>
      </c>
    </row>
    <row r="18" spans="1:9" x14ac:dyDescent="0.25">
      <c r="A18" s="520" t="s">
        <v>43</v>
      </c>
      <c r="B18" s="521">
        <v>0</v>
      </c>
      <c r="C18" s="522">
        <v>0</v>
      </c>
      <c r="D18" s="522">
        <f t="shared" si="0"/>
        <v>0</v>
      </c>
      <c r="E18" s="523">
        <v>0</v>
      </c>
      <c r="F18" s="524">
        <v>0</v>
      </c>
      <c r="G18" s="525">
        <v>0</v>
      </c>
      <c r="H18" s="525">
        <f t="shared" si="1"/>
        <v>0</v>
      </c>
      <c r="I18" s="526">
        <v>0</v>
      </c>
    </row>
    <row r="19" spans="1:9" x14ac:dyDescent="0.25">
      <c r="A19" s="520" t="s">
        <v>45</v>
      </c>
      <c r="B19" s="521">
        <v>0</v>
      </c>
      <c r="C19" s="522">
        <v>0</v>
      </c>
      <c r="D19" s="522">
        <f t="shared" si="0"/>
        <v>0</v>
      </c>
      <c r="E19" s="523">
        <v>0</v>
      </c>
      <c r="F19" s="524">
        <v>0</v>
      </c>
      <c r="G19" s="525">
        <v>0</v>
      </c>
      <c r="H19" s="525">
        <f t="shared" si="1"/>
        <v>0</v>
      </c>
      <c r="I19" s="526">
        <v>0</v>
      </c>
    </row>
    <row r="20" spans="1:9" ht="30" x14ac:dyDescent="0.25">
      <c r="A20" s="520" t="s">
        <v>173</v>
      </c>
      <c r="B20" s="521">
        <v>136</v>
      </c>
      <c r="C20" s="522">
        <v>0</v>
      </c>
      <c r="D20" s="522">
        <f t="shared" si="0"/>
        <v>136</v>
      </c>
      <c r="E20" s="523">
        <v>107</v>
      </c>
      <c r="F20" s="524">
        <v>136</v>
      </c>
      <c r="G20" s="525">
        <v>0</v>
      </c>
      <c r="H20" s="525">
        <f t="shared" si="1"/>
        <v>136</v>
      </c>
      <c r="I20" s="526">
        <v>75</v>
      </c>
    </row>
    <row r="21" spans="1:9" x14ac:dyDescent="0.25">
      <c r="A21" s="520" t="s">
        <v>35</v>
      </c>
      <c r="B21" s="521">
        <v>552</v>
      </c>
      <c r="C21" s="522">
        <v>50</v>
      </c>
      <c r="D21" s="522">
        <f t="shared" si="0"/>
        <v>602</v>
      </c>
      <c r="E21" s="523">
        <v>0</v>
      </c>
      <c r="F21" s="524">
        <v>648</v>
      </c>
      <c r="G21" s="525">
        <v>381</v>
      </c>
      <c r="H21" s="525">
        <f t="shared" si="1"/>
        <v>1029</v>
      </c>
      <c r="I21" s="526">
        <v>0</v>
      </c>
    </row>
    <row r="22" spans="1:9" ht="16.5" thickBot="1" x14ac:dyDescent="0.3">
      <c r="A22" s="527" t="s">
        <v>42</v>
      </c>
      <c r="B22" s="528">
        <v>492</v>
      </c>
      <c r="C22" s="529">
        <v>94</v>
      </c>
      <c r="D22" s="529">
        <f t="shared" si="0"/>
        <v>586</v>
      </c>
      <c r="E22" s="530">
        <v>0</v>
      </c>
      <c r="F22" s="531">
        <v>513</v>
      </c>
      <c r="G22" s="532">
        <v>86</v>
      </c>
      <c r="H22" s="532">
        <f t="shared" si="1"/>
        <v>599</v>
      </c>
      <c r="I22" s="533">
        <v>0</v>
      </c>
    </row>
    <row r="23" spans="1:9" s="393" customFormat="1" ht="16.5" thickBot="1" x14ac:dyDescent="0.3">
      <c r="A23" s="534" t="s">
        <v>18</v>
      </c>
      <c r="B23" s="535">
        <f t="shared" ref="B23:I23" si="2">SUM(B3:B22)</f>
        <v>47739</v>
      </c>
      <c r="C23" s="536">
        <f t="shared" si="2"/>
        <v>2782</v>
      </c>
      <c r="D23" s="536">
        <f t="shared" si="2"/>
        <v>50521</v>
      </c>
      <c r="E23" s="536">
        <f t="shared" si="2"/>
        <v>8284</v>
      </c>
      <c r="F23" s="536">
        <f t="shared" si="2"/>
        <v>47787</v>
      </c>
      <c r="G23" s="536">
        <f t="shared" si="2"/>
        <v>3416</v>
      </c>
      <c r="H23" s="536">
        <f t="shared" si="2"/>
        <v>51203</v>
      </c>
      <c r="I23" s="537">
        <f t="shared" si="2"/>
        <v>7892</v>
      </c>
    </row>
    <row r="24" spans="1:9" x14ac:dyDescent="0.25">
      <c r="B24" s="394"/>
      <c r="E24" s="394"/>
      <c r="I24" s="462" t="s">
        <v>24</v>
      </c>
    </row>
  </sheetData>
  <mergeCells count="1">
    <mergeCell ref="A1:I1"/>
  </mergeCells>
  <pageMargins left="0.70866141732283472" right="0.11811023622047245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52"/>
  <sheetViews>
    <sheetView workbookViewId="0">
      <selection sqref="A1:D1"/>
    </sheetView>
  </sheetViews>
  <sheetFormatPr defaultRowHeight="15.75" x14ac:dyDescent="0.25"/>
  <cols>
    <col min="1" max="1" width="15.85546875" style="395" customWidth="1"/>
    <col min="2" max="2" width="27.140625" style="395" customWidth="1"/>
    <col min="3" max="3" width="47.42578125" style="395" customWidth="1"/>
    <col min="4" max="4" width="17.42578125" style="395" customWidth="1"/>
    <col min="5" max="6" width="18.7109375" style="395" customWidth="1"/>
    <col min="7" max="7" width="9.140625" style="395"/>
    <col min="8" max="8" width="15.42578125" style="395" bestFit="1" customWidth="1"/>
    <col min="9" max="16384" width="9.140625" style="395"/>
  </cols>
  <sheetData>
    <row r="1" spans="1:4" ht="49.5" customHeight="1" thickBot="1" x14ac:dyDescent="0.3">
      <c r="A1" s="1035" t="s">
        <v>551</v>
      </c>
      <c r="B1" s="1035"/>
      <c r="C1" s="1035"/>
      <c r="D1" s="1035"/>
    </row>
    <row r="2" spans="1:4" ht="16.5" thickBot="1" x14ac:dyDescent="0.3">
      <c r="A2" s="589" t="s">
        <v>191</v>
      </c>
      <c r="B2" s="1040" t="s">
        <v>192</v>
      </c>
      <c r="C2" s="579" t="s">
        <v>193</v>
      </c>
      <c r="D2" s="580">
        <v>17090965.809999999</v>
      </c>
    </row>
    <row r="3" spans="1:4" x14ac:dyDescent="0.25">
      <c r="A3" s="590"/>
      <c r="B3" s="1041"/>
      <c r="C3" s="581" t="s">
        <v>194</v>
      </c>
      <c r="D3" s="582">
        <v>484464.1</v>
      </c>
    </row>
    <row r="4" spans="1:4" x14ac:dyDescent="0.25">
      <c r="A4" s="591"/>
      <c r="B4" s="1041"/>
      <c r="C4" s="581" t="s">
        <v>195</v>
      </c>
      <c r="D4" s="582">
        <v>154297.34</v>
      </c>
    </row>
    <row r="5" spans="1:4" x14ac:dyDescent="0.25">
      <c r="A5" s="591"/>
      <c r="B5" s="1041"/>
      <c r="C5" s="581" t="s">
        <v>196</v>
      </c>
      <c r="D5" s="582">
        <v>2108930.08</v>
      </c>
    </row>
    <row r="6" spans="1:4" x14ac:dyDescent="0.25">
      <c r="A6" s="591"/>
      <c r="B6" s="1042"/>
      <c r="C6" s="581" t="s">
        <v>197</v>
      </c>
      <c r="D6" s="582">
        <v>0</v>
      </c>
    </row>
    <row r="7" spans="1:4" x14ac:dyDescent="0.25">
      <c r="A7" s="591"/>
      <c r="B7" s="592" t="s">
        <v>198</v>
      </c>
      <c r="C7" s="593"/>
      <c r="D7" s="594">
        <f>SUM(D2:D6)</f>
        <v>19838657.329999998</v>
      </c>
    </row>
    <row r="8" spans="1:4" x14ac:dyDescent="0.25">
      <c r="A8" s="591"/>
      <c r="B8" s="585" t="s">
        <v>199</v>
      </c>
      <c r="C8" s="581" t="s">
        <v>200</v>
      </c>
      <c r="D8" s="582">
        <v>110619209.72</v>
      </c>
    </row>
    <row r="9" spans="1:4" x14ac:dyDescent="0.25">
      <c r="A9" s="591"/>
      <c r="B9" s="587"/>
      <c r="C9" s="581" t="s">
        <v>201</v>
      </c>
      <c r="D9" s="582">
        <v>555203.44999999995</v>
      </c>
    </row>
    <row r="10" spans="1:4" x14ac:dyDescent="0.25">
      <c r="A10" s="591"/>
      <c r="B10" s="587"/>
      <c r="C10" s="581" t="s">
        <v>202</v>
      </c>
      <c r="D10" s="582">
        <v>84934966.719999999</v>
      </c>
    </row>
    <row r="11" spans="1:4" x14ac:dyDescent="0.25">
      <c r="A11" s="591"/>
      <c r="B11" s="587"/>
      <c r="C11" s="581" t="s">
        <v>203</v>
      </c>
      <c r="D11" s="582">
        <v>575700150.14999998</v>
      </c>
    </row>
    <row r="12" spans="1:4" ht="24.75" customHeight="1" x14ac:dyDescent="0.25">
      <c r="A12" s="591"/>
      <c r="B12" s="587"/>
      <c r="C12" s="581" t="s">
        <v>531</v>
      </c>
      <c r="D12" s="582">
        <v>132659415.2</v>
      </c>
    </row>
    <row r="13" spans="1:4" x14ac:dyDescent="0.25">
      <c r="A13" s="591"/>
      <c r="B13" s="587"/>
      <c r="C13" s="581" t="s">
        <v>204</v>
      </c>
      <c r="D13" s="582">
        <v>1404413.67</v>
      </c>
    </row>
    <row r="14" spans="1:4" x14ac:dyDescent="0.25">
      <c r="A14" s="591"/>
      <c r="B14" s="587"/>
      <c r="C14" s="581" t="s">
        <v>205</v>
      </c>
      <c r="D14" s="582">
        <v>31411.99</v>
      </c>
    </row>
    <row r="15" spans="1:4" x14ac:dyDescent="0.25">
      <c r="A15" s="591"/>
      <c r="B15" s="587"/>
      <c r="C15" s="581" t="s">
        <v>206</v>
      </c>
      <c r="D15" s="582">
        <v>3438.02</v>
      </c>
    </row>
    <row r="16" spans="1:4" x14ac:dyDescent="0.25">
      <c r="A16" s="591"/>
      <c r="B16" s="587"/>
      <c r="C16" s="581" t="s">
        <v>207</v>
      </c>
      <c r="D16" s="582">
        <v>2234293.2000000002</v>
      </c>
    </row>
    <row r="17" spans="1:4" x14ac:dyDescent="0.25">
      <c r="A17" s="591"/>
      <c r="B17" s="587"/>
      <c r="C17" s="581" t="s">
        <v>208</v>
      </c>
      <c r="D17" s="582">
        <v>1897075.28</v>
      </c>
    </row>
    <row r="18" spans="1:4" ht="24.75" customHeight="1" x14ac:dyDescent="0.25">
      <c r="A18" s="591"/>
      <c r="B18" s="587"/>
      <c r="C18" s="581" t="s">
        <v>209</v>
      </c>
      <c r="D18" s="582">
        <v>0</v>
      </c>
    </row>
    <row r="19" spans="1:4" x14ac:dyDescent="0.25">
      <c r="A19" s="591"/>
      <c r="B19" s="592" t="s">
        <v>210</v>
      </c>
      <c r="C19" s="593"/>
      <c r="D19" s="595">
        <f>SUM(D8:D18)</f>
        <v>910039577.39999998</v>
      </c>
    </row>
    <row r="20" spans="1:4" ht="30" x14ac:dyDescent="0.25">
      <c r="A20" s="591"/>
      <c r="B20" s="1037" t="s">
        <v>211</v>
      </c>
      <c r="C20" s="581" t="s">
        <v>212</v>
      </c>
      <c r="D20" s="596">
        <v>5018789.0599999996</v>
      </c>
    </row>
    <row r="21" spans="1:4" ht="30" x14ac:dyDescent="0.25">
      <c r="A21" s="591"/>
      <c r="B21" s="1038"/>
      <c r="C21" s="581" t="s">
        <v>213</v>
      </c>
      <c r="D21" s="596">
        <v>4780.78</v>
      </c>
    </row>
    <row r="22" spans="1:4" x14ac:dyDescent="0.25">
      <c r="A22" s="591"/>
      <c r="B22" s="1039"/>
      <c r="C22" s="581" t="s">
        <v>214</v>
      </c>
      <c r="D22" s="596">
        <v>126042.72</v>
      </c>
    </row>
    <row r="23" spans="1:4" ht="16.5" thickBot="1" x14ac:dyDescent="0.3">
      <c r="A23" s="597"/>
      <c r="B23" s="598" t="s">
        <v>215</v>
      </c>
      <c r="C23" s="599"/>
      <c r="D23" s="600">
        <f>SUM(D20:D22)</f>
        <v>5149612.5599999996</v>
      </c>
    </row>
    <row r="24" spans="1:4" ht="16.5" thickBot="1" x14ac:dyDescent="0.3">
      <c r="A24" s="583" t="s">
        <v>216</v>
      </c>
      <c r="B24" s="584"/>
      <c r="C24" s="584"/>
      <c r="D24" s="608">
        <f>D7+D19+D23</f>
        <v>935027847.28999996</v>
      </c>
    </row>
    <row r="25" spans="1:4" ht="16.5" thickBot="1" x14ac:dyDescent="0.3">
      <c r="A25" s="601" t="s">
        <v>217</v>
      </c>
      <c r="B25" s="602" t="s">
        <v>218</v>
      </c>
      <c r="C25" s="603" t="s">
        <v>219</v>
      </c>
      <c r="D25" s="604">
        <v>2377125.89</v>
      </c>
    </row>
    <row r="26" spans="1:4" x14ac:dyDescent="0.25">
      <c r="A26" s="601"/>
      <c r="B26" s="605"/>
      <c r="C26" s="579" t="s">
        <v>220</v>
      </c>
      <c r="D26" s="580">
        <v>10847.77</v>
      </c>
    </row>
    <row r="27" spans="1:4" x14ac:dyDescent="0.25">
      <c r="A27" s="591"/>
      <c r="B27" s="587"/>
      <c r="C27" s="581" t="s">
        <v>221</v>
      </c>
      <c r="D27" s="582">
        <v>1725622.71</v>
      </c>
    </row>
    <row r="28" spans="1:4" x14ac:dyDescent="0.25">
      <c r="A28" s="591"/>
      <c r="B28" s="587"/>
      <c r="C28" s="581" t="s">
        <v>222</v>
      </c>
      <c r="D28" s="582">
        <v>34240.5</v>
      </c>
    </row>
    <row r="29" spans="1:4" x14ac:dyDescent="0.25">
      <c r="A29" s="591"/>
      <c r="B29" s="587"/>
      <c r="C29" s="581" t="s">
        <v>223</v>
      </c>
      <c r="D29" s="582">
        <v>1010253.12</v>
      </c>
    </row>
    <row r="30" spans="1:4" x14ac:dyDescent="0.25">
      <c r="A30" s="591"/>
      <c r="B30" s="587"/>
      <c r="C30" s="581" t="s">
        <v>224</v>
      </c>
      <c r="D30" s="582">
        <v>64094.65</v>
      </c>
    </row>
    <row r="31" spans="1:4" x14ac:dyDescent="0.25">
      <c r="A31" s="591"/>
      <c r="B31" s="592" t="s">
        <v>225</v>
      </c>
      <c r="C31" s="593"/>
      <c r="D31" s="594">
        <f>SUM(D25:D30)</f>
        <v>5222184.6400000006</v>
      </c>
    </row>
    <row r="32" spans="1:4" x14ac:dyDescent="0.25">
      <c r="A32" s="591"/>
      <c r="B32" s="585" t="s">
        <v>226</v>
      </c>
      <c r="C32" s="581" t="s">
        <v>227</v>
      </c>
      <c r="D32" s="582">
        <v>110014.33</v>
      </c>
    </row>
    <row r="33" spans="1:4" x14ac:dyDescent="0.25">
      <c r="A33" s="591"/>
      <c r="B33" s="587"/>
      <c r="C33" s="581" t="s">
        <v>228</v>
      </c>
      <c r="D33" s="582">
        <v>1095824.97</v>
      </c>
    </row>
    <row r="34" spans="1:4" x14ac:dyDescent="0.25">
      <c r="A34" s="591"/>
      <c r="B34" s="587"/>
      <c r="C34" s="581" t="s">
        <v>229</v>
      </c>
      <c r="D34" s="582">
        <v>0</v>
      </c>
    </row>
    <row r="35" spans="1:4" x14ac:dyDescent="0.25">
      <c r="A35" s="591"/>
      <c r="B35" s="592" t="s">
        <v>230</v>
      </c>
      <c r="C35" s="593"/>
      <c r="D35" s="594">
        <f>SUM(D32:D34)</f>
        <v>1205839.3</v>
      </c>
    </row>
    <row r="36" spans="1:4" x14ac:dyDescent="0.25">
      <c r="A36" s="591"/>
      <c r="B36" s="585" t="s">
        <v>231</v>
      </c>
      <c r="C36" s="581" t="s">
        <v>227</v>
      </c>
      <c r="D36" s="582">
        <v>8022227.8499999996</v>
      </c>
    </row>
    <row r="37" spans="1:4" x14ac:dyDescent="0.25">
      <c r="A37" s="591"/>
      <c r="B37" s="602"/>
      <c r="C37" s="581" t="s">
        <v>232</v>
      </c>
      <c r="D37" s="582">
        <v>473758.32</v>
      </c>
    </row>
    <row r="38" spans="1:4" x14ac:dyDescent="0.25">
      <c r="A38" s="591"/>
      <c r="B38" s="587"/>
      <c r="C38" s="581" t="s">
        <v>233</v>
      </c>
      <c r="D38" s="582">
        <v>7883464.8700000001</v>
      </c>
    </row>
    <row r="39" spans="1:4" ht="24" customHeight="1" x14ac:dyDescent="0.25">
      <c r="A39" s="591"/>
      <c r="B39" s="587"/>
      <c r="C39" s="581" t="s">
        <v>234</v>
      </c>
      <c r="D39" s="582">
        <v>66837817.93</v>
      </c>
    </row>
    <row r="40" spans="1:4" ht="24.75" customHeight="1" x14ac:dyDescent="0.25">
      <c r="A40" s="591"/>
      <c r="B40" s="587"/>
      <c r="C40" s="581" t="s">
        <v>235</v>
      </c>
      <c r="D40" s="582">
        <v>0</v>
      </c>
    </row>
    <row r="41" spans="1:4" x14ac:dyDescent="0.25">
      <c r="A41" s="591"/>
      <c r="B41" s="587"/>
      <c r="C41" s="581" t="s">
        <v>229</v>
      </c>
      <c r="D41" s="582">
        <v>7080551.8700000001</v>
      </c>
    </row>
    <row r="42" spans="1:4" x14ac:dyDescent="0.25">
      <c r="A42" s="591"/>
      <c r="B42" s="592" t="s">
        <v>236</v>
      </c>
      <c r="C42" s="593"/>
      <c r="D42" s="594">
        <f>SUM(D36:D41)</f>
        <v>90297820.840000004</v>
      </c>
    </row>
    <row r="43" spans="1:4" x14ac:dyDescent="0.25">
      <c r="A43" s="591"/>
      <c r="B43" s="585" t="s">
        <v>237</v>
      </c>
      <c r="C43" s="581" t="s">
        <v>238</v>
      </c>
      <c r="D43" s="582">
        <v>213866.48</v>
      </c>
    </row>
    <row r="44" spans="1:4" x14ac:dyDescent="0.25">
      <c r="A44" s="591"/>
      <c r="B44" s="587"/>
      <c r="C44" s="581" t="s">
        <v>239</v>
      </c>
      <c r="D44" s="582">
        <v>190543949.08000001</v>
      </c>
    </row>
    <row r="45" spans="1:4" ht="16.5" thickBot="1" x14ac:dyDescent="0.3">
      <c r="A45" s="591"/>
      <c r="B45" s="592" t="s">
        <v>240</v>
      </c>
      <c r="C45" s="593"/>
      <c r="D45" s="594">
        <f>SUM(D43:D44)</f>
        <v>190757815.56</v>
      </c>
    </row>
    <row r="46" spans="1:4" ht="16.5" thickBot="1" x14ac:dyDescent="0.3">
      <c r="A46" s="583" t="s">
        <v>241</v>
      </c>
      <c r="B46" s="584"/>
      <c r="C46" s="584"/>
      <c r="D46" s="588">
        <f>D31+D35+D42+D45</f>
        <v>287483660.34000003</v>
      </c>
    </row>
    <row r="47" spans="1:4" ht="24" customHeight="1" x14ac:dyDescent="0.25">
      <c r="A47" s="590" t="s">
        <v>242</v>
      </c>
      <c r="B47" s="602" t="s">
        <v>243</v>
      </c>
      <c r="C47" s="855" t="s">
        <v>244</v>
      </c>
      <c r="D47" s="856">
        <v>1458953.69</v>
      </c>
    </row>
    <row r="48" spans="1:4" x14ac:dyDescent="0.25">
      <c r="A48" s="591"/>
      <c r="B48" s="587"/>
      <c r="C48" s="581" t="s">
        <v>245</v>
      </c>
      <c r="D48" s="582">
        <v>934940.31</v>
      </c>
    </row>
    <row r="49" spans="1:4" ht="16.5" thickBot="1" x14ac:dyDescent="0.3">
      <c r="A49" s="597"/>
      <c r="B49" s="598" t="s">
        <v>246</v>
      </c>
      <c r="C49" s="599"/>
      <c r="D49" s="600">
        <f>SUM(D47:D48)</f>
        <v>2393894</v>
      </c>
    </row>
    <row r="50" spans="1:4" ht="16.5" thickBot="1" x14ac:dyDescent="0.3">
      <c r="A50" s="606" t="s">
        <v>247</v>
      </c>
      <c r="B50" s="586"/>
      <c r="C50" s="586"/>
      <c r="D50" s="607">
        <f>D49</f>
        <v>2393894</v>
      </c>
    </row>
    <row r="51" spans="1:4" ht="16.5" thickBot="1" x14ac:dyDescent="0.3">
      <c r="A51" s="583" t="s">
        <v>248</v>
      </c>
      <c r="B51" s="584"/>
      <c r="C51" s="584"/>
      <c r="D51" s="588">
        <f>D24+D46+D50</f>
        <v>1224905401.6300001</v>
      </c>
    </row>
    <row r="52" spans="1:4" x14ac:dyDescent="0.25">
      <c r="D52" s="460" t="s">
        <v>497</v>
      </c>
    </row>
  </sheetData>
  <mergeCells count="3">
    <mergeCell ref="B20:B22"/>
    <mergeCell ref="A1:D1"/>
    <mergeCell ref="B2:B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D39"/>
  <sheetViews>
    <sheetView zoomScaleNormal="100" workbookViewId="0">
      <selection sqref="A1:D1"/>
    </sheetView>
  </sheetViews>
  <sheetFormatPr defaultRowHeight="15.75" x14ac:dyDescent="0.25"/>
  <cols>
    <col min="1" max="1" width="15.7109375" style="78" customWidth="1"/>
    <col min="2" max="2" width="25.5703125" style="831" customWidth="1"/>
    <col min="3" max="3" width="45.42578125" style="78" customWidth="1"/>
    <col min="4" max="4" width="16" style="78" customWidth="1"/>
    <col min="5" max="5" width="21.7109375" style="78" customWidth="1"/>
    <col min="6" max="6" width="25.140625" style="78" customWidth="1"/>
    <col min="7" max="7" width="17.28515625" style="78" bestFit="1" customWidth="1"/>
    <col min="8" max="8" width="17.42578125" style="78" bestFit="1" customWidth="1"/>
    <col min="9" max="9" width="9.140625" style="78" customWidth="1"/>
    <col min="10" max="16384" width="9.140625" style="78"/>
  </cols>
  <sheetData>
    <row r="1" spans="1:4" ht="57" customHeight="1" thickBot="1" x14ac:dyDescent="0.3">
      <c r="A1" s="1035" t="s">
        <v>552</v>
      </c>
      <c r="B1" s="1035"/>
      <c r="C1" s="1035"/>
      <c r="D1" s="1035"/>
    </row>
    <row r="2" spans="1:4" ht="20.100000000000001" customHeight="1" thickBot="1" x14ac:dyDescent="0.3">
      <c r="A2" s="589" t="s">
        <v>249</v>
      </c>
      <c r="B2" s="1043" t="s">
        <v>534</v>
      </c>
      <c r="C2" s="904" t="s">
        <v>251</v>
      </c>
      <c r="D2" s="898">
        <v>489311155.79000002</v>
      </c>
    </row>
    <row r="3" spans="1:4" ht="20.100000000000001" customHeight="1" x14ac:dyDescent="0.25">
      <c r="A3" s="590"/>
      <c r="B3" s="1044"/>
      <c r="C3" s="905" t="s">
        <v>252</v>
      </c>
      <c r="D3" s="899">
        <v>5341671.75</v>
      </c>
    </row>
    <row r="4" spans="1:4" ht="20.100000000000001" customHeight="1" x14ac:dyDescent="0.25">
      <c r="A4" s="590"/>
      <c r="B4" s="1044"/>
      <c r="C4" s="905" t="s">
        <v>253</v>
      </c>
      <c r="D4" s="899">
        <v>77017203.469999999</v>
      </c>
    </row>
    <row r="5" spans="1:4" ht="20.100000000000001" customHeight="1" x14ac:dyDescent="0.25">
      <c r="A5" s="590"/>
      <c r="B5" s="1044"/>
      <c r="C5" s="906" t="s">
        <v>254</v>
      </c>
      <c r="D5" s="899">
        <v>325958.21999999997</v>
      </c>
    </row>
    <row r="6" spans="1:4" ht="20.100000000000001" customHeight="1" x14ac:dyDescent="0.25">
      <c r="A6" s="590"/>
      <c r="B6" s="1045" t="s">
        <v>250</v>
      </c>
      <c r="C6" s="1046"/>
      <c r="D6" s="899">
        <f>SUM(D2:D5)</f>
        <v>571995989.23000002</v>
      </c>
    </row>
    <row r="7" spans="1:4" ht="20.100000000000001" customHeight="1" x14ac:dyDescent="0.25">
      <c r="A7" s="590"/>
      <c r="B7" s="1044" t="s">
        <v>535</v>
      </c>
      <c r="C7" s="905" t="s">
        <v>255</v>
      </c>
      <c r="D7" s="899">
        <v>15905150.130000001</v>
      </c>
    </row>
    <row r="8" spans="1:4" ht="20.100000000000001" customHeight="1" x14ac:dyDescent="0.25">
      <c r="A8" s="590"/>
      <c r="B8" s="1044"/>
      <c r="C8" s="905" t="s">
        <v>256</v>
      </c>
      <c r="D8" s="899">
        <v>60056.56</v>
      </c>
    </row>
    <row r="9" spans="1:4" ht="20.100000000000001" customHeight="1" x14ac:dyDescent="0.25">
      <c r="A9" s="590"/>
      <c r="B9" s="1047"/>
      <c r="C9" s="905" t="s">
        <v>257</v>
      </c>
      <c r="D9" s="899">
        <v>6093654.5599999996</v>
      </c>
    </row>
    <row r="10" spans="1:4" ht="20.100000000000001" customHeight="1" x14ac:dyDescent="0.25">
      <c r="A10" s="590"/>
      <c r="B10" s="1048" t="s">
        <v>612</v>
      </c>
      <c r="C10" s="1049"/>
      <c r="D10" s="899">
        <f>SUM(D7:D9)</f>
        <v>22058861.25</v>
      </c>
    </row>
    <row r="11" spans="1:4" ht="29.25" customHeight="1" x14ac:dyDescent="0.25">
      <c r="A11" s="590"/>
      <c r="B11" s="1050" t="s">
        <v>258</v>
      </c>
      <c r="C11" s="905" t="s">
        <v>259</v>
      </c>
      <c r="D11" s="899">
        <v>10759041.9</v>
      </c>
    </row>
    <row r="12" spans="1:4" ht="20.100000000000001" customHeight="1" x14ac:dyDescent="0.25">
      <c r="A12" s="590"/>
      <c r="B12" s="1051"/>
      <c r="C12" s="905" t="s">
        <v>260</v>
      </c>
      <c r="D12" s="899">
        <v>12628662.279999999</v>
      </c>
    </row>
    <row r="13" spans="1:4" ht="20.100000000000001" customHeight="1" thickBot="1" x14ac:dyDescent="0.3">
      <c r="A13" s="891"/>
      <c r="B13" s="1052" t="s">
        <v>261</v>
      </c>
      <c r="C13" s="1053"/>
      <c r="D13" s="900">
        <f>SUM(D11:D12)</f>
        <v>23387704.18</v>
      </c>
    </row>
    <row r="14" spans="1:4" ht="20.100000000000001" customHeight="1" thickBot="1" x14ac:dyDescent="0.3">
      <c r="A14" s="583" t="s">
        <v>610</v>
      </c>
      <c r="B14" s="890"/>
      <c r="C14" s="907"/>
      <c r="D14" s="901">
        <f>D10+D13+D6</f>
        <v>617442554.65999997</v>
      </c>
    </row>
    <row r="15" spans="1:4" ht="20.100000000000001" customHeight="1" thickBot="1" x14ac:dyDescent="0.3">
      <c r="A15" s="892" t="s">
        <v>611</v>
      </c>
      <c r="B15" s="1054" t="s">
        <v>262</v>
      </c>
      <c r="C15" s="908" t="s">
        <v>262</v>
      </c>
      <c r="D15" s="898">
        <v>6742</v>
      </c>
    </row>
    <row r="16" spans="1:4" ht="20.100000000000001" customHeight="1" x14ac:dyDescent="0.25">
      <c r="A16" s="893"/>
      <c r="B16" s="1055"/>
      <c r="C16" s="909" t="s">
        <v>263</v>
      </c>
      <c r="D16" s="899">
        <v>8094927.0300000003</v>
      </c>
    </row>
    <row r="17" spans="1:4" ht="20.100000000000001" customHeight="1" x14ac:dyDescent="0.25">
      <c r="A17" s="893"/>
      <c r="B17" s="895" t="s">
        <v>264</v>
      </c>
      <c r="C17" s="910"/>
      <c r="D17" s="899">
        <f>SUM(D15:D16)</f>
        <v>8101669.0300000003</v>
      </c>
    </row>
    <row r="18" spans="1:4" ht="20.100000000000001" customHeight="1" x14ac:dyDescent="0.25">
      <c r="A18" s="893"/>
      <c r="B18" s="1056" t="s">
        <v>265</v>
      </c>
      <c r="C18" s="905" t="s">
        <v>266</v>
      </c>
      <c r="D18" s="899">
        <v>1117671.55</v>
      </c>
    </row>
    <row r="19" spans="1:4" ht="20.100000000000001" customHeight="1" x14ac:dyDescent="0.25">
      <c r="A19" s="893"/>
      <c r="B19" s="1055"/>
      <c r="C19" s="905" t="s">
        <v>267</v>
      </c>
      <c r="D19" s="899">
        <v>9565.77</v>
      </c>
    </row>
    <row r="20" spans="1:4" ht="20.100000000000001" customHeight="1" x14ac:dyDescent="0.25">
      <c r="A20" s="893"/>
      <c r="B20" s="1057"/>
      <c r="C20" s="905" t="s">
        <v>268</v>
      </c>
      <c r="D20" s="899">
        <v>5785.67</v>
      </c>
    </row>
    <row r="21" spans="1:4" ht="20.100000000000001" customHeight="1" x14ac:dyDescent="0.25">
      <c r="A21" s="893"/>
      <c r="B21" s="895" t="s">
        <v>269</v>
      </c>
      <c r="C21" s="911"/>
      <c r="D21" s="899">
        <f>SUM(D18:D20)</f>
        <v>1133022.99</v>
      </c>
    </row>
    <row r="22" spans="1:4" ht="20.100000000000001" customHeight="1" x14ac:dyDescent="0.25">
      <c r="A22" s="893"/>
      <c r="B22" s="895" t="s">
        <v>270</v>
      </c>
      <c r="C22" s="905" t="s">
        <v>271</v>
      </c>
      <c r="D22" s="899">
        <v>43102555.439999998</v>
      </c>
    </row>
    <row r="23" spans="1:4" ht="20.100000000000001" customHeight="1" x14ac:dyDescent="0.25">
      <c r="A23" s="893"/>
      <c r="B23" s="896"/>
      <c r="C23" s="905" t="s">
        <v>272</v>
      </c>
      <c r="D23" s="899">
        <v>16801665.57</v>
      </c>
    </row>
    <row r="24" spans="1:4" ht="29.25" customHeight="1" x14ac:dyDescent="0.25">
      <c r="A24" s="893"/>
      <c r="B24" s="896"/>
      <c r="C24" s="905" t="s">
        <v>273</v>
      </c>
      <c r="D24" s="899">
        <v>9194359.5099999998</v>
      </c>
    </row>
    <row r="25" spans="1:4" ht="33" customHeight="1" x14ac:dyDescent="0.25">
      <c r="A25" s="893"/>
      <c r="B25" s="896"/>
      <c r="C25" s="905" t="s">
        <v>274</v>
      </c>
      <c r="D25" s="899">
        <v>1631.74</v>
      </c>
    </row>
    <row r="26" spans="1:4" ht="20.100000000000001" customHeight="1" x14ac:dyDescent="0.25">
      <c r="A26" s="893"/>
      <c r="B26" s="896"/>
      <c r="C26" s="905" t="s">
        <v>275</v>
      </c>
      <c r="D26" s="899">
        <v>10258350.640000001</v>
      </c>
    </row>
    <row r="27" spans="1:4" ht="20.100000000000001" customHeight="1" x14ac:dyDescent="0.25">
      <c r="A27" s="893"/>
      <c r="B27" s="896"/>
      <c r="C27" s="905" t="s">
        <v>276</v>
      </c>
      <c r="D27" s="899">
        <v>6752502.9000000004</v>
      </c>
    </row>
    <row r="28" spans="1:4" ht="20.100000000000001" customHeight="1" x14ac:dyDescent="0.25">
      <c r="A28" s="893"/>
      <c r="B28" s="895" t="s">
        <v>277</v>
      </c>
      <c r="C28" s="911"/>
      <c r="D28" s="899">
        <f>SUM(D22:D27)</f>
        <v>86111065.799999997</v>
      </c>
    </row>
    <row r="29" spans="1:4" ht="20.100000000000001" customHeight="1" x14ac:dyDescent="0.25">
      <c r="A29" s="893"/>
      <c r="B29" s="1058" t="s">
        <v>278</v>
      </c>
      <c r="C29" s="905" t="s">
        <v>279</v>
      </c>
      <c r="D29" s="899">
        <v>0</v>
      </c>
    </row>
    <row r="30" spans="1:4" ht="20.100000000000001" customHeight="1" x14ac:dyDescent="0.25">
      <c r="A30" s="893"/>
      <c r="B30" s="1059"/>
      <c r="C30" s="905" t="s">
        <v>280</v>
      </c>
      <c r="D30" s="902">
        <v>0</v>
      </c>
    </row>
    <row r="31" spans="1:4" ht="20.100000000000001" customHeight="1" x14ac:dyDescent="0.25">
      <c r="A31" s="893"/>
      <c r="B31" s="1060"/>
      <c r="C31" s="905" t="s">
        <v>281</v>
      </c>
      <c r="D31" s="902">
        <v>0</v>
      </c>
    </row>
    <row r="32" spans="1:4" ht="20.100000000000001" customHeight="1" thickBot="1" x14ac:dyDescent="0.3">
      <c r="A32" s="894"/>
      <c r="B32" s="897" t="s">
        <v>282</v>
      </c>
      <c r="C32" s="912"/>
      <c r="D32" s="900">
        <f>SUM(D29:D31)</f>
        <v>0</v>
      </c>
    </row>
    <row r="33" spans="1:4" ht="20.100000000000001" customHeight="1" thickBot="1" x14ac:dyDescent="0.3">
      <c r="A33" s="583" t="s">
        <v>283</v>
      </c>
      <c r="B33" s="890"/>
      <c r="C33" s="907"/>
      <c r="D33" s="901">
        <f>D17+D21+D28+D32</f>
        <v>95345757.819999993</v>
      </c>
    </row>
    <row r="34" spans="1:4" ht="20.100000000000001" customHeight="1" x14ac:dyDescent="0.25">
      <c r="A34" s="1061" t="s">
        <v>242</v>
      </c>
      <c r="B34" s="1065" t="s">
        <v>284</v>
      </c>
      <c r="C34" s="913" t="s">
        <v>285</v>
      </c>
      <c r="D34" s="915">
        <v>1189695.19</v>
      </c>
    </row>
    <row r="35" spans="1:4" ht="20.100000000000001" customHeight="1" x14ac:dyDescent="0.25">
      <c r="A35" s="1061"/>
      <c r="B35" s="1066"/>
      <c r="C35" s="905" t="s">
        <v>286</v>
      </c>
      <c r="D35" s="899">
        <v>510927394.06999999</v>
      </c>
    </row>
    <row r="36" spans="1:4" ht="33.75" customHeight="1" thickBot="1" x14ac:dyDescent="0.3">
      <c r="A36" s="1062"/>
      <c r="B36" s="1063" t="s">
        <v>287</v>
      </c>
      <c r="C36" s="1064"/>
      <c r="D36" s="902">
        <f>SUM(D34:D35)</f>
        <v>512117089.25999999</v>
      </c>
    </row>
    <row r="37" spans="1:4" ht="20.100000000000001" customHeight="1" thickBot="1" x14ac:dyDescent="0.3">
      <c r="A37" s="606" t="s">
        <v>247</v>
      </c>
      <c r="B37" s="889"/>
      <c r="C37" s="907"/>
      <c r="D37" s="903">
        <f>D36</f>
        <v>512117089.25999999</v>
      </c>
    </row>
    <row r="38" spans="1:4" ht="20.100000000000001" customHeight="1" thickBot="1" x14ac:dyDescent="0.3">
      <c r="A38" s="887" t="s">
        <v>288</v>
      </c>
      <c r="B38" s="888"/>
      <c r="C38" s="914"/>
      <c r="D38" s="901">
        <f>D14+D33+D37</f>
        <v>1224905401.74</v>
      </c>
    </row>
    <row r="39" spans="1:4" x14ac:dyDescent="0.25">
      <c r="A39" s="395"/>
      <c r="B39" s="395"/>
      <c r="C39" s="395"/>
      <c r="D39" s="460" t="s">
        <v>497</v>
      </c>
    </row>
  </sheetData>
  <mergeCells count="13">
    <mergeCell ref="B13:C13"/>
    <mergeCell ref="B15:B16"/>
    <mergeCell ref="B18:B20"/>
    <mergeCell ref="B29:B31"/>
    <mergeCell ref="A34:A36"/>
    <mergeCell ref="B36:C36"/>
    <mergeCell ref="B34:B35"/>
    <mergeCell ref="A1:D1"/>
    <mergeCell ref="B2:B5"/>
    <mergeCell ref="B6:C6"/>
    <mergeCell ref="B7:B9"/>
    <mergeCell ref="B10:C10"/>
    <mergeCell ref="B11:B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43"/>
  <sheetViews>
    <sheetView workbookViewId="0">
      <selection sqref="A1:G1"/>
    </sheetView>
  </sheetViews>
  <sheetFormatPr defaultRowHeight="15.75" x14ac:dyDescent="0.25"/>
  <cols>
    <col min="1" max="1" width="37.42578125" style="397" customWidth="1"/>
    <col min="2" max="2" width="15.85546875" style="397" customWidth="1"/>
    <col min="3" max="3" width="9.140625" style="400" customWidth="1"/>
    <col min="4" max="4" width="20.85546875" style="397" customWidth="1"/>
    <col min="5" max="5" width="8.140625" style="401" customWidth="1"/>
    <col min="6" max="6" width="15.42578125" style="397" customWidth="1"/>
    <col min="7" max="7" width="9.42578125" style="397" customWidth="1"/>
    <col min="8" max="8" width="13" style="397" customWidth="1"/>
    <col min="9" max="9" width="6.28515625" style="397" customWidth="1"/>
    <col min="10" max="14" width="14.85546875" style="397" customWidth="1"/>
    <col min="15" max="16384" width="9.140625" style="397"/>
  </cols>
  <sheetData>
    <row r="1" spans="1:13" ht="42.75" customHeight="1" thickBot="1" x14ac:dyDescent="0.3">
      <c r="A1" s="1035" t="s">
        <v>553</v>
      </c>
      <c r="B1" s="1035"/>
      <c r="C1" s="1035"/>
      <c r="D1" s="1035"/>
      <c r="E1" s="1035"/>
      <c r="F1" s="1035"/>
      <c r="G1" s="1035"/>
      <c r="H1" s="396"/>
      <c r="I1" s="396"/>
      <c r="J1" s="396"/>
      <c r="K1" s="396"/>
      <c r="L1" s="396"/>
      <c r="M1" s="396"/>
    </row>
    <row r="2" spans="1:13" s="398" customFormat="1" ht="43.5" customHeight="1" thickBot="1" x14ac:dyDescent="0.3">
      <c r="A2" s="492" t="s">
        <v>133</v>
      </c>
      <c r="B2" s="609" t="s">
        <v>289</v>
      </c>
      <c r="C2" s="610" t="s">
        <v>61</v>
      </c>
      <c r="D2" s="611" t="s">
        <v>290</v>
      </c>
      <c r="E2" s="612" t="s">
        <v>61</v>
      </c>
      <c r="F2" s="611" t="s">
        <v>291</v>
      </c>
      <c r="G2" s="613" t="s">
        <v>61</v>
      </c>
    </row>
    <row r="3" spans="1:13" s="399" customFormat="1" ht="15" x14ac:dyDescent="0.25">
      <c r="A3" s="614" t="s">
        <v>292</v>
      </c>
      <c r="B3" s="615">
        <v>877868.67</v>
      </c>
      <c r="C3" s="616">
        <f t="shared" ref="C3:C37" si="0">B3/$B$38</f>
        <v>1.4621701879253361E-3</v>
      </c>
      <c r="D3" s="617">
        <v>2795064.22</v>
      </c>
      <c r="E3" s="616">
        <f t="shared" ref="E3:E37" si="1">D3/$D$38</f>
        <v>9.5606345348664121E-2</v>
      </c>
      <c r="F3" s="618">
        <f t="shared" ref="F3:F42" si="2">B3+D3</f>
        <v>3672932.89</v>
      </c>
      <c r="G3" s="619">
        <f t="shared" ref="G3:G37" si="3">F3/$F$38</f>
        <v>5.8335466866546422E-3</v>
      </c>
    </row>
    <row r="4" spans="1:13" s="399" customFormat="1" ht="15" x14ac:dyDescent="0.25">
      <c r="A4" s="620" t="s">
        <v>293</v>
      </c>
      <c r="B4" s="621">
        <v>38629275.689999998</v>
      </c>
      <c r="C4" s="622">
        <f t="shared" si="0"/>
        <v>6.4340575333514199E-2</v>
      </c>
      <c r="D4" s="623">
        <v>18482485.34</v>
      </c>
      <c r="E4" s="622">
        <f t="shared" si="1"/>
        <v>0.63220117222124572</v>
      </c>
      <c r="F4" s="501">
        <f t="shared" si="2"/>
        <v>57111761.030000001</v>
      </c>
      <c r="G4" s="624">
        <f t="shared" si="3"/>
        <v>9.0707925873801692E-2</v>
      </c>
    </row>
    <row r="5" spans="1:13" s="399" customFormat="1" ht="15" x14ac:dyDescent="0.25">
      <c r="A5" s="620" t="s">
        <v>613</v>
      </c>
      <c r="B5" s="621">
        <v>4364457.1900000004</v>
      </c>
      <c r="C5" s="622">
        <f t="shared" si="0"/>
        <v>7.2694007745992177E-3</v>
      </c>
      <c r="D5" s="623">
        <v>676482.75</v>
      </c>
      <c r="E5" s="622">
        <f t="shared" si="1"/>
        <v>2.3139376532434024E-2</v>
      </c>
      <c r="F5" s="501">
        <f t="shared" si="2"/>
        <v>5040939.9400000004</v>
      </c>
      <c r="G5" s="624">
        <f t="shared" si="3"/>
        <v>8.0062879898173296E-3</v>
      </c>
    </row>
    <row r="6" spans="1:13" s="399" customFormat="1" ht="30" x14ac:dyDescent="0.25">
      <c r="A6" s="620" t="s">
        <v>294</v>
      </c>
      <c r="B6" s="621">
        <v>0</v>
      </c>
      <c r="C6" s="622">
        <f t="shared" si="0"/>
        <v>0</v>
      </c>
      <c r="D6" s="623">
        <v>0</v>
      </c>
      <c r="E6" s="622">
        <f t="shared" si="1"/>
        <v>0</v>
      </c>
      <c r="F6" s="501">
        <f t="shared" si="2"/>
        <v>0</v>
      </c>
      <c r="G6" s="624">
        <f t="shared" si="3"/>
        <v>0</v>
      </c>
    </row>
    <row r="7" spans="1:13" s="399" customFormat="1" ht="15" x14ac:dyDescent="0.25">
      <c r="A7" s="620" t="s">
        <v>295</v>
      </c>
      <c r="B7" s="621">
        <v>0</v>
      </c>
      <c r="C7" s="622">
        <f t="shared" si="0"/>
        <v>0</v>
      </c>
      <c r="D7" s="623">
        <v>0</v>
      </c>
      <c r="E7" s="622">
        <f t="shared" si="1"/>
        <v>0</v>
      </c>
      <c r="F7" s="501">
        <f t="shared" si="2"/>
        <v>0</v>
      </c>
      <c r="G7" s="624">
        <f t="shared" si="3"/>
        <v>0</v>
      </c>
    </row>
    <row r="8" spans="1:13" s="399" customFormat="1" ht="15" x14ac:dyDescent="0.25">
      <c r="A8" s="620" t="s">
        <v>614</v>
      </c>
      <c r="B8" s="621">
        <v>71876.75</v>
      </c>
      <c r="C8" s="622">
        <f t="shared" si="0"/>
        <v>1.1971727052858875E-4</v>
      </c>
      <c r="D8" s="623">
        <v>95917.23</v>
      </c>
      <c r="E8" s="622">
        <f t="shared" si="1"/>
        <v>3.2808891297199769E-3</v>
      </c>
      <c r="F8" s="501">
        <f t="shared" si="2"/>
        <v>167793.97999999998</v>
      </c>
      <c r="G8" s="624">
        <f t="shared" si="3"/>
        <v>2.664992923596802E-4</v>
      </c>
    </row>
    <row r="9" spans="1:13" s="399" customFormat="1" ht="15" x14ac:dyDescent="0.25">
      <c r="A9" s="620" t="s">
        <v>296</v>
      </c>
      <c r="B9" s="621">
        <v>-570</v>
      </c>
      <c r="C9" s="622">
        <f t="shared" si="0"/>
        <v>-9.4938689077198938E-7</v>
      </c>
      <c r="D9" s="623">
        <v>-17065.18</v>
      </c>
      <c r="E9" s="622">
        <f t="shared" si="1"/>
        <v>-5.8372164791158749E-4</v>
      </c>
      <c r="F9" s="501">
        <f t="shared" si="2"/>
        <v>-17635.18</v>
      </c>
      <c r="G9" s="624">
        <f t="shared" si="3"/>
        <v>-2.8009127566052047E-5</v>
      </c>
    </row>
    <row r="10" spans="1:13" s="399" customFormat="1" ht="15" x14ac:dyDescent="0.25">
      <c r="A10" s="620" t="s">
        <v>297</v>
      </c>
      <c r="B10" s="621">
        <v>13956.23</v>
      </c>
      <c r="C10" s="622">
        <f t="shared" si="0"/>
        <v>2.3245371590524144E-5</v>
      </c>
      <c r="D10" s="623">
        <v>157297.46</v>
      </c>
      <c r="E10" s="622">
        <f t="shared" si="1"/>
        <v>5.380425671660481E-3</v>
      </c>
      <c r="F10" s="501">
        <f t="shared" si="2"/>
        <v>171253.69</v>
      </c>
      <c r="G10" s="624">
        <f t="shared" si="3"/>
        <v>2.7199418715131524E-4</v>
      </c>
    </row>
    <row r="11" spans="1:13" s="399" customFormat="1" ht="30" x14ac:dyDescent="0.25">
      <c r="A11" s="620" t="s">
        <v>298</v>
      </c>
      <c r="B11" s="621">
        <v>1164751.68</v>
      </c>
      <c r="C11" s="622">
        <f t="shared" si="0"/>
        <v>1.9399999578888615E-3</v>
      </c>
      <c r="D11" s="623">
        <v>515310.46</v>
      </c>
      <c r="E11" s="622">
        <f t="shared" si="1"/>
        <v>1.7626410673504657E-2</v>
      </c>
      <c r="F11" s="501">
        <f t="shared" si="2"/>
        <v>1680062.14</v>
      </c>
      <c r="G11" s="624">
        <f t="shared" si="3"/>
        <v>2.6683637364718926E-3</v>
      </c>
    </row>
    <row r="12" spans="1:13" s="399" customFormat="1" ht="30" x14ac:dyDescent="0.25">
      <c r="A12" s="620" t="s">
        <v>299</v>
      </c>
      <c r="B12" s="621">
        <v>0</v>
      </c>
      <c r="C12" s="622">
        <f t="shared" si="0"/>
        <v>0</v>
      </c>
      <c r="D12" s="623">
        <v>0</v>
      </c>
      <c r="E12" s="622">
        <f t="shared" si="1"/>
        <v>0</v>
      </c>
      <c r="F12" s="501">
        <f t="shared" si="2"/>
        <v>0</v>
      </c>
      <c r="G12" s="624">
        <f t="shared" si="3"/>
        <v>0</v>
      </c>
    </row>
    <row r="13" spans="1:13" s="399" customFormat="1" ht="30" x14ac:dyDescent="0.25">
      <c r="A13" s="620" t="s">
        <v>300</v>
      </c>
      <c r="B13" s="621">
        <v>10750.53</v>
      </c>
      <c r="C13" s="622">
        <f t="shared" si="0"/>
        <v>1.7905986405001746E-5</v>
      </c>
      <c r="D13" s="623">
        <v>0</v>
      </c>
      <c r="E13" s="622">
        <f t="shared" si="1"/>
        <v>0</v>
      </c>
      <c r="F13" s="501">
        <f t="shared" si="2"/>
        <v>10750.53</v>
      </c>
      <c r="G13" s="624">
        <f t="shared" si="3"/>
        <v>1.7074561539642323E-5</v>
      </c>
    </row>
    <row r="14" spans="1:13" s="399" customFormat="1" ht="30" x14ac:dyDescent="0.25">
      <c r="A14" s="620" t="s">
        <v>301</v>
      </c>
      <c r="B14" s="621">
        <v>27405.81</v>
      </c>
      <c r="C14" s="622">
        <f t="shared" si="0"/>
        <v>4.5646871482434905E-5</v>
      </c>
      <c r="D14" s="623">
        <v>14064.38</v>
      </c>
      <c r="E14" s="622">
        <f t="shared" si="1"/>
        <v>4.8107802381544014E-4</v>
      </c>
      <c r="F14" s="501">
        <f t="shared" si="2"/>
        <v>41470.19</v>
      </c>
      <c r="G14" s="624">
        <f t="shared" si="3"/>
        <v>6.5865153738063127E-5</v>
      </c>
    </row>
    <row r="15" spans="1:13" s="399" customFormat="1" ht="15" x14ac:dyDescent="0.25">
      <c r="A15" s="620" t="s">
        <v>302</v>
      </c>
      <c r="B15" s="621">
        <v>117667.61</v>
      </c>
      <c r="C15" s="622">
        <f t="shared" si="0"/>
        <v>1.9598611649556324E-4</v>
      </c>
      <c r="D15" s="623">
        <v>303.94</v>
      </c>
      <c r="E15" s="622">
        <f t="shared" si="1"/>
        <v>1.0396395330506207E-5</v>
      </c>
      <c r="F15" s="501">
        <f t="shared" si="2"/>
        <v>117971.55</v>
      </c>
      <c r="G15" s="624">
        <f t="shared" si="3"/>
        <v>1.873686683728143E-4</v>
      </c>
    </row>
    <row r="16" spans="1:13" s="399" customFormat="1" ht="15" x14ac:dyDescent="0.25">
      <c r="A16" s="620" t="s">
        <v>303</v>
      </c>
      <c r="B16" s="621">
        <v>1429.43</v>
      </c>
      <c r="C16" s="622">
        <f t="shared" si="0"/>
        <v>2.3808457952214122E-6</v>
      </c>
      <c r="D16" s="623">
        <v>303.79000000000002</v>
      </c>
      <c r="E16" s="622">
        <f t="shared" si="1"/>
        <v>1.0391264517518196E-5</v>
      </c>
      <c r="F16" s="501">
        <f t="shared" si="2"/>
        <v>1733.22</v>
      </c>
      <c r="G16" s="624">
        <f t="shared" si="3"/>
        <v>2.7527918671673741E-6</v>
      </c>
    </row>
    <row r="17" spans="1:7" s="399" customFormat="1" ht="15" x14ac:dyDescent="0.25">
      <c r="A17" s="620" t="s">
        <v>304</v>
      </c>
      <c r="B17" s="621">
        <v>210819.93</v>
      </c>
      <c r="C17" s="622">
        <f t="shared" si="0"/>
        <v>3.5113978571134813E-4</v>
      </c>
      <c r="D17" s="623">
        <v>16196.41</v>
      </c>
      <c r="E17" s="622">
        <f t="shared" si="1"/>
        <v>5.5400500524762795E-4</v>
      </c>
      <c r="F17" s="501">
        <f t="shared" si="2"/>
        <v>227016.34</v>
      </c>
      <c r="G17" s="624">
        <f t="shared" si="3"/>
        <v>3.6055938338243462E-4</v>
      </c>
    </row>
    <row r="18" spans="1:7" s="399" customFormat="1" ht="15" x14ac:dyDescent="0.25">
      <c r="A18" s="620" t="s">
        <v>305</v>
      </c>
      <c r="B18" s="621">
        <v>26006.43</v>
      </c>
      <c r="C18" s="622">
        <f t="shared" si="0"/>
        <v>4.3316076697858578E-5</v>
      </c>
      <c r="D18" s="623">
        <v>2165.17</v>
      </c>
      <c r="E18" s="622">
        <f t="shared" si="1"/>
        <v>7.406054904833889E-5</v>
      </c>
      <c r="F18" s="501">
        <f t="shared" si="2"/>
        <v>28171.599999999999</v>
      </c>
      <c r="G18" s="624">
        <f t="shared" si="3"/>
        <v>4.4743628255554624E-5</v>
      </c>
    </row>
    <row r="19" spans="1:7" s="399" customFormat="1" ht="15" x14ac:dyDescent="0.25">
      <c r="A19" s="620" t="s">
        <v>306</v>
      </c>
      <c r="B19" s="621">
        <v>44635.64</v>
      </c>
      <c r="C19" s="622">
        <f t="shared" si="0"/>
        <v>7.4344721889855854E-5</v>
      </c>
      <c r="D19" s="623">
        <v>0</v>
      </c>
      <c r="E19" s="622">
        <f t="shared" si="1"/>
        <v>0</v>
      </c>
      <c r="F19" s="501">
        <f t="shared" si="2"/>
        <v>44635.64</v>
      </c>
      <c r="G19" s="624">
        <f t="shared" si="3"/>
        <v>7.0892689201492438E-5</v>
      </c>
    </row>
    <row r="20" spans="1:7" s="399" customFormat="1" ht="15" x14ac:dyDescent="0.25">
      <c r="A20" s="620" t="s">
        <v>307</v>
      </c>
      <c r="B20" s="621">
        <v>1979.21</v>
      </c>
      <c r="C20" s="622">
        <f t="shared" si="0"/>
        <v>3.2965544352365423E-6</v>
      </c>
      <c r="D20" s="623">
        <v>0</v>
      </c>
      <c r="E20" s="622">
        <f t="shared" si="1"/>
        <v>0</v>
      </c>
      <c r="F20" s="501">
        <f t="shared" si="2"/>
        <v>1979.21</v>
      </c>
      <c r="G20" s="624">
        <f t="shared" si="3"/>
        <v>3.143486222993237E-6</v>
      </c>
    </row>
    <row r="21" spans="1:7" s="399" customFormat="1" ht="15" x14ac:dyDescent="0.25">
      <c r="A21" s="620" t="s">
        <v>308</v>
      </c>
      <c r="B21" s="621">
        <v>0</v>
      </c>
      <c r="C21" s="622">
        <f t="shared" si="0"/>
        <v>0</v>
      </c>
      <c r="D21" s="623">
        <v>0</v>
      </c>
      <c r="E21" s="622">
        <f t="shared" si="1"/>
        <v>0</v>
      </c>
      <c r="F21" s="501">
        <f t="shared" si="2"/>
        <v>0</v>
      </c>
      <c r="G21" s="624">
        <f t="shared" si="3"/>
        <v>0</v>
      </c>
    </row>
    <row r="22" spans="1:7" s="399" customFormat="1" ht="15" x14ac:dyDescent="0.25">
      <c r="A22" s="620" t="s">
        <v>309</v>
      </c>
      <c r="B22" s="621">
        <v>74334224.590000004</v>
      </c>
      <c r="C22" s="622">
        <f t="shared" si="0"/>
        <v>0.12381041817797694</v>
      </c>
      <c r="D22" s="623">
        <v>1668383.12</v>
      </c>
      <c r="E22" s="622">
        <f t="shared" si="1"/>
        <v>5.706774520715726E-2</v>
      </c>
      <c r="F22" s="501">
        <f t="shared" si="2"/>
        <v>76002607.710000008</v>
      </c>
      <c r="G22" s="624">
        <f t="shared" si="3"/>
        <v>0.1207113698131803</v>
      </c>
    </row>
    <row r="23" spans="1:7" s="399" customFormat="1" ht="30" x14ac:dyDescent="0.25">
      <c r="A23" s="620" t="s">
        <v>310</v>
      </c>
      <c r="B23" s="621">
        <v>788821.58</v>
      </c>
      <c r="C23" s="622">
        <f t="shared" si="0"/>
        <v>1.3138541530000843E-3</v>
      </c>
      <c r="D23" s="623">
        <v>24354.99</v>
      </c>
      <c r="E23" s="622">
        <f t="shared" si="1"/>
        <v>8.3307266009911612E-4</v>
      </c>
      <c r="F23" s="501">
        <f t="shared" si="2"/>
        <v>813176.57</v>
      </c>
      <c r="G23" s="624">
        <f t="shared" si="3"/>
        <v>1.2915301280085971E-3</v>
      </c>
    </row>
    <row r="24" spans="1:7" s="399" customFormat="1" ht="29.25" customHeight="1" x14ac:dyDescent="0.25">
      <c r="A24" s="620" t="s">
        <v>311</v>
      </c>
      <c r="B24" s="621">
        <v>300</v>
      </c>
      <c r="C24" s="622">
        <f t="shared" si="0"/>
        <v>4.9967731093262597E-7</v>
      </c>
      <c r="D24" s="623">
        <v>0</v>
      </c>
      <c r="E24" s="622">
        <f t="shared" si="1"/>
        <v>0</v>
      </c>
      <c r="F24" s="501">
        <f t="shared" si="2"/>
        <v>300</v>
      </c>
      <c r="G24" s="624">
        <f t="shared" si="3"/>
        <v>4.7647590043399691E-7</v>
      </c>
    </row>
    <row r="25" spans="1:7" s="399" customFormat="1" ht="28.5" customHeight="1" x14ac:dyDescent="0.25">
      <c r="A25" s="620" t="s">
        <v>312</v>
      </c>
      <c r="B25" s="621">
        <v>6937.53</v>
      </c>
      <c r="C25" s="622">
        <f t="shared" si="0"/>
        <v>1.155508778304807E-5</v>
      </c>
      <c r="D25" s="623">
        <v>0</v>
      </c>
      <c r="E25" s="622">
        <f t="shared" si="1"/>
        <v>0</v>
      </c>
      <c r="F25" s="501">
        <f t="shared" si="2"/>
        <v>6937.53</v>
      </c>
      <c r="G25" s="624">
        <f t="shared" si="3"/>
        <v>1.1018552845126222E-5</v>
      </c>
    </row>
    <row r="26" spans="1:7" s="399" customFormat="1" ht="15" x14ac:dyDescent="0.25">
      <c r="A26" s="620" t="s">
        <v>313</v>
      </c>
      <c r="B26" s="621">
        <v>2273.17</v>
      </c>
      <c r="C26" s="622">
        <f t="shared" si="0"/>
        <v>3.7861715763090583E-6</v>
      </c>
      <c r="D26" s="623">
        <v>21268.97</v>
      </c>
      <c r="E26" s="622">
        <f t="shared" si="1"/>
        <v>7.2751405011738037E-4</v>
      </c>
      <c r="F26" s="501">
        <f t="shared" si="2"/>
        <v>23542.14</v>
      </c>
      <c r="G26" s="624">
        <f t="shared" si="3"/>
        <v>3.7390874515477387E-5</v>
      </c>
    </row>
    <row r="27" spans="1:7" s="399" customFormat="1" ht="30" x14ac:dyDescent="0.25">
      <c r="A27" s="620" t="s">
        <v>314</v>
      </c>
      <c r="B27" s="621">
        <v>0</v>
      </c>
      <c r="C27" s="622">
        <f t="shared" si="0"/>
        <v>0</v>
      </c>
      <c r="D27" s="623">
        <v>0</v>
      </c>
      <c r="E27" s="622">
        <f t="shared" si="1"/>
        <v>0</v>
      </c>
      <c r="F27" s="501">
        <f t="shared" si="2"/>
        <v>0</v>
      </c>
      <c r="G27" s="624">
        <f t="shared" si="3"/>
        <v>0</v>
      </c>
    </row>
    <row r="28" spans="1:7" s="399" customFormat="1" ht="15" x14ac:dyDescent="0.25">
      <c r="A28" s="620" t="s">
        <v>315</v>
      </c>
      <c r="B28" s="621">
        <v>3870568.69</v>
      </c>
      <c r="C28" s="622">
        <f t="shared" si="0"/>
        <v>6.4467845159973895E-3</v>
      </c>
      <c r="D28" s="623">
        <v>121890.68</v>
      </c>
      <c r="E28" s="622">
        <f t="shared" si="1"/>
        <v>4.1693218937429305E-3</v>
      </c>
      <c r="F28" s="501">
        <f t="shared" si="2"/>
        <v>3992459.37</v>
      </c>
      <c r="G28" s="624">
        <f t="shared" si="3"/>
        <v>6.3410355775563275E-3</v>
      </c>
    </row>
    <row r="29" spans="1:7" s="399" customFormat="1" ht="27" customHeight="1" x14ac:dyDescent="0.25">
      <c r="A29" s="620" t="s">
        <v>316</v>
      </c>
      <c r="B29" s="621">
        <v>0</v>
      </c>
      <c r="C29" s="622">
        <f t="shared" si="0"/>
        <v>0</v>
      </c>
      <c r="D29" s="623">
        <v>0</v>
      </c>
      <c r="E29" s="622">
        <f t="shared" si="1"/>
        <v>0</v>
      </c>
      <c r="F29" s="501">
        <f t="shared" si="2"/>
        <v>0</v>
      </c>
      <c r="G29" s="624">
        <f t="shared" si="3"/>
        <v>0</v>
      </c>
    </row>
    <row r="30" spans="1:7" s="399" customFormat="1" ht="15" x14ac:dyDescent="0.25">
      <c r="A30" s="620" t="s">
        <v>317</v>
      </c>
      <c r="B30" s="621">
        <v>513944.42</v>
      </c>
      <c r="C30" s="622">
        <f t="shared" si="0"/>
        <v>8.5602121918142702E-4</v>
      </c>
      <c r="D30" s="623">
        <v>4652969.4800000004</v>
      </c>
      <c r="E30" s="622">
        <f t="shared" si="1"/>
        <v>0.15915677493867175</v>
      </c>
      <c r="F30" s="501">
        <f t="shared" si="2"/>
        <v>5166913.9000000004</v>
      </c>
      <c r="G30" s="624">
        <f t="shared" si="3"/>
        <v>8.2063665098914499E-3</v>
      </c>
    </row>
    <row r="31" spans="1:7" s="399" customFormat="1" ht="30" customHeight="1" x14ac:dyDescent="0.25">
      <c r="A31" s="620" t="s">
        <v>318</v>
      </c>
      <c r="B31" s="621">
        <v>0</v>
      </c>
      <c r="C31" s="622">
        <f t="shared" si="0"/>
        <v>0</v>
      </c>
      <c r="D31" s="623">
        <v>0</v>
      </c>
      <c r="E31" s="622">
        <f t="shared" si="1"/>
        <v>0</v>
      </c>
      <c r="F31" s="501">
        <f t="shared" si="2"/>
        <v>0</v>
      </c>
      <c r="G31" s="624">
        <f t="shared" si="3"/>
        <v>0</v>
      </c>
    </row>
    <row r="32" spans="1:7" s="399" customFormat="1" ht="30" x14ac:dyDescent="0.25">
      <c r="A32" s="620" t="s">
        <v>319</v>
      </c>
      <c r="B32" s="621">
        <v>285177.52</v>
      </c>
      <c r="C32" s="622">
        <f t="shared" si="0"/>
        <v>4.7498912110678393E-4</v>
      </c>
      <c r="D32" s="623">
        <v>100</v>
      </c>
      <c r="E32" s="622">
        <f t="shared" si="1"/>
        <v>3.4205419920070431E-6</v>
      </c>
      <c r="F32" s="501">
        <f t="shared" si="2"/>
        <v>285277.52</v>
      </c>
      <c r="G32" s="624">
        <f t="shared" si="3"/>
        <v>4.5309287738525857E-4</v>
      </c>
    </row>
    <row r="33" spans="1:9" s="399" customFormat="1" ht="30" customHeight="1" x14ac:dyDescent="0.25">
      <c r="A33" s="620" t="s">
        <v>320</v>
      </c>
      <c r="B33" s="621">
        <v>0</v>
      </c>
      <c r="C33" s="622">
        <f t="shared" si="0"/>
        <v>0</v>
      </c>
      <c r="D33" s="623">
        <v>0</v>
      </c>
      <c r="E33" s="622">
        <f t="shared" si="1"/>
        <v>0</v>
      </c>
      <c r="F33" s="501">
        <f t="shared" si="2"/>
        <v>0</v>
      </c>
      <c r="G33" s="624">
        <f t="shared" si="3"/>
        <v>0</v>
      </c>
    </row>
    <row r="34" spans="1:9" s="399" customFormat="1" ht="15" x14ac:dyDescent="0.25">
      <c r="A34" s="620" t="s">
        <v>321</v>
      </c>
      <c r="B34" s="621">
        <v>0</v>
      </c>
      <c r="C34" s="622">
        <f t="shared" si="0"/>
        <v>0</v>
      </c>
      <c r="D34" s="623">
        <v>0</v>
      </c>
      <c r="E34" s="622">
        <f t="shared" si="1"/>
        <v>0</v>
      </c>
      <c r="F34" s="501">
        <f t="shared" si="2"/>
        <v>0</v>
      </c>
      <c r="G34" s="624">
        <f t="shared" si="3"/>
        <v>0</v>
      </c>
    </row>
    <row r="35" spans="1:9" s="399" customFormat="1" ht="28.5" customHeight="1" x14ac:dyDescent="0.25">
      <c r="A35" s="620" t="s">
        <v>322</v>
      </c>
      <c r="B35" s="621">
        <v>27568.76</v>
      </c>
      <c r="C35" s="622">
        <f t="shared" si="0"/>
        <v>4.5918279541823137E-5</v>
      </c>
      <c r="D35" s="623">
        <v>0</v>
      </c>
      <c r="E35" s="622">
        <f t="shared" si="1"/>
        <v>0</v>
      </c>
      <c r="F35" s="501">
        <f t="shared" si="2"/>
        <v>27568.76</v>
      </c>
      <c r="G35" s="624">
        <f t="shared" si="3"/>
        <v>4.3786165816162522E-5</v>
      </c>
    </row>
    <row r="36" spans="1:9" s="399" customFormat="1" ht="29.25" customHeight="1" x14ac:dyDescent="0.25">
      <c r="A36" s="620" t="s">
        <v>323</v>
      </c>
      <c r="B36" s="621">
        <v>0</v>
      </c>
      <c r="C36" s="622">
        <f t="shared" si="0"/>
        <v>0</v>
      </c>
      <c r="D36" s="623">
        <v>0</v>
      </c>
      <c r="E36" s="622">
        <f t="shared" si="1"/>
        <v>0</v>
      </c>
      <c r="F36" s="501">
        <f t="shared" si="2"/>
        <v>0</v>
      </c>
      <c r="G36" s="624">
        <f t="shared" si="3"/>
        <v>0</v>
      </c>
    </row>
    <row r="37" spans="1:9" s="399" customFormat="1" thickBot="1" x14ac:dyDescent="0.3">
      <c r="A37" s="620" t="s">
        <v>324</v>
      </c>
      <c r="B37" s="621">
        <v>474995349.88999999</v>
      </c>
      <c r="C37" s="622">
        <f t="shared" si="0"/>
        <v>0.79114799712845663</v>
      </c>
      <c r="D37" s="623">
        <v>7639.77</v>
      </c>
      <c r="E37" s="622">
        <f t="shared" si="1"/>
        <v>2.6132154094275648E-4</v>
      </c>
      <c r="F37" s="501">
        <f t="shared" si="2"/>
        <v>475002989.65999997</v>
      </c>
      <c r="G37" s="624">
        <f t="shared" si="3"/>
        <v>0.75442492402363004</v>
      </c>
    </row>
    <row r="38" spans="1:9" ht="16.5" thickBot="1" x14ac:dyDescent="0.3">
      <c r="A38" s="687" t="s">
        <v>291</v>
      </c>
      <c r="B38" s="688">
        <f>SUM(B3:B37)</f>
        <v>600387476.95000005</v>
      </c>
      <c r="C38" s="689">
        <f>SUM(C3:C37)</f>
        <v>0.99999999999999989</v>
      </c>
      <c r="D38" s="690">
        <f>SUM(D3:D37)</f>
        <v>29235132.98</v>
      </c>
      <c r="E38" s="612">
        <f>SUM(E3:E37)</f>
        <v>1.0000000000000002</v>
      </c>
      <c r="F38" s="690">
        <f t="shared" si="2"/>
        <v>629622609.93000007</v>
      </c>
      <c r="G38" s="691">
        <f>SUM(G3:G37)</f>
        <v>0.99999999999999978</v>
      </c>
      <c r="I38" s="399"/>
    </row>
    <row r="39" spans="1:9" s="399" customFormat="1" ht="15" x14ac:dyDescent="0.25">
      <c r="A39" s="641" t="s">
        <v>325</v>
      </c>
      <c r="B39" s="615">
        <v>9429750.9700000007</v>
      </c>
      <c r="C39" s="685"/>
      <c r="D39" s="617">
        <v>3736835.96</v>
      </c>
      <c r="E39" s="685"/>
      <c r="F39" s="498">
        <f t="shared" si="2"/>
        <v>13166586.93</v>
      </c>
      <c r="G39" s="686"/>
    </row>
    <row r="40" spans="1:9" s="399" customFormat="1" ht="15" x14ac:dyDescent="0.25">
      <c r="A40" s="620" t="s">
        <v>326</v>
      </c>
      <c r="B40" s="621">
        <v>-119367.22</v>
      </c>
      <c r="C40" s="622"/>
      <c r="D40" s="623">
        <v>657291.87</v>
      </c>
      <c r="E40" s="622"/>
      <c r="F40" s="501">
        <f t="shared" si="2"/>
        <v>537924.65</v>
      </c>
      <c r="G40" s="625"/>
    </row>
    <row r="41" spans="1:9" s="399" customFormat="1" ht="19.5" customHeight="1" thickBot="1" x14ac:dyDescent="0.3">
      <c r="A41" s="626" t="s">
        <v>327</v>
      </c>
      <c r="B41" s="627">
        <v>0</v>
      </c>
      <c r="C41" s="628"/>
      <c r="D41" s="629">
        <v>0</v>
      </c>
      <c r="E41" s="628"/>
      <c r="F41" s="504">
        <f t="shared" si="2"/>
        <v>0</v>
      </c>
      <c r="G41" s="630"/>
    </row>
    <row r="42" spans="1:9" ht="16.5" thickBot="1" x14ac:dyDescent="0.3">
      <c r="A42" s="631" t="s">
        <v>328</v>
      </c>
      <c r="B42" s="632">
        <f>B39-B40-B41</f>
        <v>9549118.1900000013</v>
      </c>
      <c r="C42" s="633"/>
      <c r="D42" s="634">
        <f>D39-D40-D41</f>
        <v>3079544.09</v>
      </c>
      <c r="E42" s="635"/>
      <c r="F42" s="636">
        <f t="shared" si="2"/>
        <v>12628662.280000001</v>
      </c>
      <c r="G42" s="637"/>
      <c r="I42" s="399"/>
    </row>
    <row r="43" spans="1:9" x14ac:dyDescent="0.25">
      <c r="G43" s="460" t="s">
        <v>497</v>
      </c>
    </row>
  </sheetData>
  <mergeCells count="1">
    <mergeCell ref="A1:G1"/>
  </mergeCells>
  <pageMargins left="0.70866141732283472" right="0.11811023622047245" top="0.74803149606299213" bottom="0.74803149606299213" header="0.31496062992125984" footer="0.31496062992125984"/>
  <pageSetup paperSize="9" scale="80" orientation="portrait" r:id="rId1"/>
  <headerFoot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40"/>
  <sheetViews>
    <sheetView workbookViewId="0">
      <selection sqref="A1:J1"/>
    </sheetView>
  </sheetViews>
  <sheetFormatPr defaultRowHeight="15.75" x14ac:dyDescent="0.25"/>
  <cols>
    <col min="1" max="1" width="45" style="404" customWidth="1"/>
    <col min="2" max="2" width="15.5703125" style="404" customWidth="1"/>
    <col min="3" max="4" width="16.28515625" style="404" customWidth="1"/>
    <col min="5" max="5" width="14.42578125" style="404" bestFit="1" customWidth="1"/>
    <col min="6" max="6" width="15.85546875" style="404" customWidth="1"/>
    <col min="7" max="7" width="16.28515625" style="404" customWidth="1"/>
    <col min="8" max="8" width="13.28515625" style="404" bestFit="1" customWidth="1"/>
    <col min="9" max="9" width="16.28515625" style="404" customWidth="1"/>
    <col min="10" max="10" width="17.28515625" style="404" customWidth="1"/>
    <col min="11" max="16384" width="9.140625" style="404"/>
  </cols>
  <sheetData>
    <row r="1" spans="1:10" ht="36" customHeight="1" thickBot="1" x14ac:dyDescent="0.3">
      <c r="A1" s="1073" t="s">
        <v>554</v>
      </c>
      <c r="B1" s="1073"/>
      <c r="C1" s="1073"/>
      <c r="D1" s="1073"/>
      <c r="E1" s="1073"/>
      <c r="F1" s="1073"/>
      <c r="G1" s="1073"/>
      <c r="H1" s="1073"/>
      <c r="I1" s="1073"/>
      <c r="J1" s="1073"/>
    </row>
    <row r="2" spans="1:10" ht="13.5" customHeight="1" thickBot="1" x14ac:dyDescent="0.3">
      <c r="A2" s="1074" t="s">
        <v>133</v>
      </c>
      <c r="B2" s="1067" t="s">
        <v>134</v>
      </c>
      <c r="C2" s="1068"/>
      <c r="D2" s="1069"/>
      <c r="E2" s="1067" t="s">
        <v>432</v>
      </c>
      <c r="F2" s="1068"/>
      <c r="G2" s="1069"/>
      <c r="H2" s="1070" t="s">
        <v>433</v>
      </c>
      <c r="I2" s="1071"/>
      <c r="J2" s="1072"/>
    </row>
    <row r="3" spans="1:10" ht="45.75" thickBot="1" x14ac:dyDescent="0.3">
      <c r="A3" s="1075"/>
      <c r="B3" s="638" t="s">
        <v>289</v>
      </c>
      <c r="C3" s="639" t="s">
        <v>290</v>
      </c>
      <c r="D3" s="640" t="s">
        <v>291</v>
      </c>
      <c r="E3" s="638" t="s">
        <v>289</v>
      </c>
      <c r="F3" s="639" t="s">
        <v>290</v>
      </c>
      <c r="G3" s="640" t="s">
        <v>291</v>
      </c>
      <c r="H3" s="638" t="s">
        <v>289</v>
      </c>
      <c r="I3" s="639" t="s">
        <v>290</v>
      </c>
      <c r="J3" s="640" t="s">
        <v>291</v>
      </c>
    </row>
    <row r="4" spans="1:10" x14ac:dyDescent="0.25">
      <c r="A4" s="641" t="s">
        <v>292</v>
      </c>
      <c r="B4" s="615">
        <v>856553.64</v>
      </c>
      <c r="C4" s="617">
        <v>2526805.54</v>
      </c>
      <c r="D4" s="642">
        <f t="shared" ref="D4:D38" si="0">B4+C4</f>
        <v>3383359.18</v>
      </c>
      <c r="E4" s="615">
        <v>877868.67</v>
      </c>
      <c r="F4" s="617">
        <v>2795064.22</v>
      </c>
      <c r="G4" s="642">
        <f>E4+F4</f>
        <v>3672932.89</v>
      </c>
      <c r="H4" s="615">
        <f>E4-B4</f>
        <v>21315.030000000028</v>
      </c>
      <c r="I4" s="617">
        <f>F4-C4</f>
        <v>268258.68000000017</v>
      </c>
      <c r="J4" s="643">
        <f>G4-D4</f>
        <v>289573.70999999996</v>
      </c>
    </row>
    <row r="5" spans="1:10" x14ac:dyDescent="0.25">
      <c r="A5" s="620" t="s">
        <v>293</v>
      </c>
      <c r="B5" s="621">
        <v>38461663.539999999</v>
      </c>
      <c r="C5" s="623">
        <v>16217380.09</v>
      </c>
      <c r="D5" s="643">
        <f t="shared" si="0"/>
        <v>54679043.629999995</v>
      </c>
      <c r="E5" s="621">
        <v>38629275.689999998</v>
      </c>
      <c r="F5" s="623">
        <v>18482485.34</v>
      </c>
      <c r="G5" s="642">
        <f t="shared" ref="G5:G38" si="1">E5+F5</f>
        <v>57111761.030000001</v>
      </c>
      <c r="H5" s="615">
        <f t="shared" ref="H5:J38" si="2">E5-B5</f>
        <v>167612.14999999851</v>
      </c>
      <c r="I5" s="617">
        <f t="shared" si="2"/>
        <v>2265105.25</v>
      </c>
      <c r="J5" s="643">
        <f t="shared" si="2"/>
        <v>2432717.400000006</v>
      </c>
    </row>
    <row r="6" spans="1:10" x14ac:dyDescent="0.25">
      <c r="A6" s="620" t="s">
        <v>613</v>
      </c>
      <c r="B6" s="621">
        <v>4713859.18</v>
      </c>
      <c r="C6" s="623">
        <v>685558.6</v>
      </c>
      <c r="D6" s="643">
        <f t="shared" si="0"/>
        <v>5399417.7799999993</v>
      </c>
      <c r="E6" s="621">
        <v>4364457.1900000004</v>
      </c>
      <c r="F6" s="623">
        <v>676482.75</v>
      </c>
      <c r="G6" s="642">
        <f t="shared" si="1"/>
        <v>5040939.9400000004</v>
      </c>
      <c r="H6" s="615">
        <f t="shared" si="2"/>
        <v>-349401.98999999929</v>
      </c>
      <c r="I6" s="617">
        <f t="shared" si="2"/>
        <v>-9075.8499999999767</v>
      </c>
      <c r="J6" s="643">
        <f t="shared" si="2"/>
        <v>-358477.83999999892</v>
      </c>
    </row>
    <row r="7" spans="1:10" x14ac:dyDescent="0.25">
      <c r="A7" s="620" t="s">
        <v>294</v>
      </c>
      <c r="B7" s="621">
        <v>0</v>
      </c>
      <c r="C7" s="623">
        <v>0</v>
      </c>
      <c r="D7" s="643">
        <f t="shared" si="0"/>
        <v>0</v>
      </c>
      <c r="E7" s="621">
        <v>0</v>
      </c>
      <c r="F7" s="623">
        <v>0</v>
      </c>
      <c r="G7" s="642">
        <f t="shared" si="1"/>
        <v>0</v>
      </c>
      <c r="H7" s="615">
        <f t="shared" si="2"/>
        <v>0</v>
      </c>
      <c r="I7" s="617">
        <f t="shared" si="2"/>
        <v>0</v>
      </c>
      <c r="J7" s="643">
        <f t="shared" si="2"/>
        <v>0</v>
      </c>
    </row>
    <row r="8" spans="1:10" x14ac:dyDescent="0.25">
      <c r="A8" s="620" t="s">
        <v>295</v>
      </c>
      <c r="B8" s="621">
        <v>0</v>
      </c>
      <c r="C8" s="623">
        <v>0</v>
      </c>
      <c r="D8" s="643">
        <f t="shared" si="0"/>
        <v>0</v>
      </c>
      <c r="E8" s="621">
        <v>0</v>
      </c>
      <c r="F8" s="623">
        <v>0</v>
      </c>
      <c r="G8" s="642">
        <f t="shared" si="1"/>
        <v>0</v>
      </c>
      <c r="H8" s="615">
        <f t="shared" si="2"/>
        <v>0</v>
      </c>
      <c r="I8" s="617">
        <f t="shared" si="2"/>
        <v>0</v>
      </c>
      <c r="J8" s="643">
        <f t="shared" si="2"/>
        <v>0</v>
      </c>
    </row>
    <row r="9" spans="1:10" x14ac:dyDescent="0.25">
      <c r="A9" s="620" t="s">
        <v>614</v>
      </c>
      <c r="B9" s="621">
        <v>176712.95</v>
      </c>
      <c r="C9" s="623">
        <v>-6610.9</v>
      </c>
      <c r="D9" s="643">
        <f t="shared" si="0"/>
        <v>170102.05000000002</v>
      </c>
      <c r="E9" s="621">
        <v>71876.75</v>
      </c>
      <c r="F9" s="623">
        <v>95917.23</v>
      </c>
      <c r="G9" s="642">
        <f t="shared" si="1"/>
        <v>167793.97999999998</v>
      </c>
      <c r="H9" s="615">
        <f t="shared" si="2"/>
        <v>-104836.20000000001</v>
      </c>
      <c r="I9" s="617">
        <f t="shared" si="2"/>
        <v>102528.12999999999</v>
      </c>
      <c r="J9" s="643">
        <f t="shared" si="2"/>
        <v>-2308.0700000000361</v>
      </c>
    </row>
    <row r="10" spans="1:10" x14ac:dyDescent="0.25">
      <c r="A10" s="620" t="s">
        <v>296</v>
      </c>
      <c r="B10" s="621">
        <v>570</v>
      </c>
      <c r="C10" s="623">
        <v>14714.53</v>
      </c>
      <c r="D10" s="643">
        <f t="shared" si="0"/>
        <v>15284.53</v>
      </c>
      <c r="E10" s="621">
        <v>-570</v>
      </c>
      <c r="F10" s="623">
        <v>-17065.18</v>
      </c>
      <c r="G10" s="642">
        <f t="shared" si="1"/>
        <v>-17635.18</v>
      </c>
      <c r="H10" s="615">
        <f t="shared" si="2"/>
        <v>-1140</v>
      </c>
      <c r="I10" s="617">
        <f t="shared" si="2"/>
        <v>-31779.71</v>
      </c>
      <c r="J10" s="643">
        <f t="shared" si="2"/>
        <v>-32919.71</v>
      </c>
    </row>
    <row r="11" spans="1:10" x14ac:dyDescent="0.25">
      <c r="A11" s="620" t="s">
        <v>297</v>
      </c>
      <c r="B11" s="621">
        <v>39260.33</v>
      </c>
      <c r="C11" s="623">
        <v>225559.28</v>
      </c>
      <c r="D11" s="643">
        <f t="shared" si="0"/>
        <v>264819.61</v>
      </c>
      <c r="E11" s="621">
        <v>13956.23</v>
      </c>
      <c r="F11" s="623">
        <v>157297.46</v>
      </c>
      <c r="G11" s="642">
        <f t="shared" si="1"/>
        <v>171253.69</v>
      </c>
      <c r="H11" s="615">
        <f t="shared" si="2"/>
        <v>-25304.100000000002</v>
      </c>
      <c r="I11" s="617">
        <f t="shared" si="2"/>
        <v>-68261.820000000007</v>
      </c>
      <c r="J11" s="643">
        <f t="shared" si="2"/>
        <v>-93565.919999999984</v>
      </c>
    </row>
    <row r="12" spans="1:10" ht="22.5" customHeight="1" x14ac:dyDescent="0.25">
      <c r="A12" s="620" t="s">
        <v>298</v>
      </c>
      <c r="B12" s="621">
        <v>923422.67</v>
      </c>
      <c r="C12" s="623">
        <v>327977.11</v>
      </c>
      <c r="D12" s="643">
        <f t="shared" si="0"/>
        <v>1251399.78</v>
      </c>
      <c r="E12" s="621">
        <v>1164751.68</v>
      </c>
      <c r="F12" s="623">
        <v>515310.46</v>
      </c>
      <c r="G12" s="642">
        <f t="shared" si="1"/>
        <v>1680062.14</v>
      </c>
      <c r="H12" s="615">
        <f t="shared" si="2"/>
        <v>241329.00999999989</v>
      </c>
      <c r="I12" s="617">
        <f t="shared" si="2"/>
        <v>187333.35000000003</v>
      </c>
      <c r="J12" s="643">
        <f t="shared" si="2"/>
        <v>428662.35999999987</v>
      </c>
    </row>
    <row r="13" spans="1:10" ht="30" x14ac:dyDescent="0.25">
      <c r="A13" s="620" t="s">
        <v>299</v>
      </c>
      <c r="B13" s="621">
        <v>0</v>
      </c>
      <c r="C13" s="623">
        <v>0</v>
      </c>
      <c r="D13" s="643">
        <f t="shared" si="0"/>
        <v>0</v>
      </c>
      <c r="E13" s="621">
        <v>0</v>
      </c>
      <c r="F13" s="623">
        <v>0</v>
      </c>
      <c r="G13" s="642">
        <f t="shared" si="1"/>
        <v>0</v>
      </c>
      <c r="H13" s="615">
        <f t="shared" si="2"/>
        <v>0</v>
      </c>
      <c r="I13" s="617">
        <f t="shared" si="2"/>
        <v>0</v>
      </c>
      <c r="J13" s="643">
        <f t="shared" si="2"/>
        <v>0</v>
      </c>
    </row>
    <row r="14" spans="1:10" ht="20.25" customHeight="1" x14ac:dyDescent="0.25">
      <c r="A14" s="620" t="s">
        <v>300</v>
      </c>
      <c r="B14" s="621">
        <v>39988.01</v>
      </c>
      <c r="C14" s="623">
        <v>0</v>
      </c>
      <c r="D14" s="643">
        <f t="shared" si="0"/>
        <v>39988.01</v>
      </c>
      <c r="E14" s="621">
        <v>10750.53</v>
      </c>
      <c r="F14" s="623">
        <v>0</v>
      </c>
      <c r="G14" s="642">
        <f t="shared" si="1"/>
        <v>10750.53</v>
      </c>
      <c r="H14" s="615">
        <f t="shared" si="2"/>
        <v>-29237.480000000003</v>
      </c>
      <c r="I14" s="617">
        <f t="shared" si="2"/>
        <v>0</v>
      </c>
      <c r="J14" s="643">
        <f t="shared" si="2"/>
        <v>-29237.480000000003</v>
      </c>
    </row>
    <row r="15" spans="1:10" x14ac:dyDescent="0.25">
      <c r="A15" s="620" t="s">
        <v>301</v>
      </c>
      <c r="B15" s="621">
        <v>12462.84</v>
      </c>
      <c r="C15" s="623">
        <v>24229.18</v>
      </c>
      <c r="D15" s="643">
        <f t="shared" si="0"/>
        <v>36692.020000000004</v>
      </c>
      <c r="E15" s="621">
        <v>27405.81</v>
      </c>
      <c r="F15" s="623">
        <v>14064.38</v>
      </c>
      <c r="G15" s="642">
        <f t="shared" si="1"/>
        <v>41470.19</v>
      </c>
      <c r="H15" s="615">
        <f t="shared" si="2"/>
        <v>14942.970000000001</v>
      </c>
      <c r="I15" s="617">
        <f t="shared" si="2"/>
        <v>-10164.800000000001</v>
      </c>
      <c r="J15" s="643">
        <f t="shared" si="2"/>
        <v>4778.1699999999983</v>
      </c>
    </row>
    <row r="16" spans="1:10" x14ac:dyDescent="0.25">
      <c r="A16" s="620" t="s">
        <v>302</v>
      </c>
      <c r="B16" s="621">
        <v>47364.23</v>
      </c>
      <c r="C16" s="623">
        <v>1240.77</v>
      </c>
      <c r="D16" s="643">
        <f t="shared" si="0"/>
        <v>48605</v>
      </c>
      <c r="E16" s="621">
        <v>117667.61</v>
      </c>
      <c r="F16" s="623">
        <v>303.94</v>
      </c>
      <c r="G16" s="642">
        <f t="shared" si="1"/>
        <v>117971.55</v>
      </c>
      <c r="H16" s="615">
        <f t="shared" si="2"/>
        <v>70303.38</v>
      </c>
      <c r="I16" s="617">
        <f t="shared" si="2"/>
        <v>-936.82999999999993</v>
      </c>
      <c r="J16" s="643">
        <f t="shared" si="2"/>
        <v>69366.55</v>
      </c>
    </row>
    <row r="17" spans="1:10" x14ac:dyDescent="0.25">
      <c r="A17" s="620" t="s">
        <v>303</v>
      </c>
      <c r="B17" s="621">
        <v>10554.87</v>
      </c>
      <c r="C17" s="623">
        <v>2137.5300000000002</v>
      </c>
      <c r="D17" s="643">
        <f t="shared" si="0"/>
        <v>12692.400000000001</v>
      </c>
      <c r="E17" s="621">
        <v>1429.43</v>
      </c>
      <c r="F17" s="623">
        <v>303.79000000000002</v>
      </c>
      <c r="G17" s="642">
        <f t="shared" si="1"/>
        <v>1733.22</v>
      </c>
      <c r="H17" s="615">
        <f t="shared" si="2"/>
        <v>-9125.44</v>
      </c>
      <c r="I17" s="617">
        <f t="shared" si="2"/>
        <v>-1833.7400000000002</v>
      </c>
      <c r="J17" s="643">
        <f t="shared" si="2"/>
        <v>-10959.180000000002</v>
      </c>
    </row>
    <row r="18" spans="1:10" x14ac:dyDescent="0.25">
      <c r="A18" s="620" t="s">
        <v>304</v>
      </c>
      <c r="B18" s="621">
        <v>131921.06</v>
      </c>
      <c r="C18" s="623">
        <v>11615.05</v>
      </c>
      <c r="D18" s="643">
        <f t="shared" si="0"/>
        <v>143536.10999999999</v>
      </c>
      <c r="E18" s="621">
        <v>210819.93</v>
      </c>
      <c r="F18" s="623">
        <v>16196.41</v>
      </c>
      <c r="G18" s="642">
        <f t="shared" si="1"/>
        <v>227016.34</v>
      </c>
      <c r="H18" s="615">
        <f t="shared" si="2"/>
        <v>78898.87</v>
      </c>
      <c r="I18" s="617">
        <f t="shared" si="2"/>
        <v>4581.3600000000006</v>
      </c>
      <c r="J18" s="643">
        <f t="shared" si="2"/>
        <v>83480.23000000001</v>
      </c>
    </row>
    <row r="19" spans="1:10" x14ac:dyDescent="0.25">
      <c r="A19" s="620" t="s">
        <v>305</v>
      </c>
      <c r="B19" s="621">
        <v>162186.39000000001</v>
      </c>
      <c r="C19" s="623">
        <v>3042.9</v>
      </c>
      <c r="D19" s="643">
        <f t="shared" si="0"/>
        <v>165229.29</v>
      </c>
      <c r="E19" s="621">
        <v>26006.43</v>
      </c>
      <c r="F19" s="623">
        <v>2165.17</v>
      </c>
      <c r="G19" s="642">
        <f t="shared" si="1"/>
        <v>28171.599999999999</v>
      </c>
      <c r="H19" s="615">
        <f t="shared" si="2"/>
        <v>-136179.96000000002</v>
      </c>
      <c r="I19" s="617">
        <f t="shared" si="2"/>
        <v>-877.73</v>
      </c>
      <c r="J19" s="643">
        <f t="shared" si="2"/>
        <v>-137057.69</v>
      </c>
    </row>
    <row r="20" spans="1:10" x14ac:dyDescent="0.25">
      <c r="A20" s="620" t="s">
        <v>306</v>
      </c>
      <c r="B20" s="621">
        <v>59741.24</v>
      </c>
      <c r="C20" s="623">
        <v>0</v>
      </c>
      <c r="D20" s="643">
        <f t="shared" si="0"/>
        <v>59741.24</v>
      </c>
      <c r="E20" s="621">
        <v>44635.64</v>
      </c>
      <c r="F20" s="623">
        <v>0</v>
      </c>
      <c r="G20" s="642">
        <f t="shared" si="1"/>
        <v>44635.64</v>
      </c>
      <c r="H20" s="615">
        <f t="shared" si="2"/>
        <v>-15105.599999999999</v>
      </c>
      <c r="I20" s="617">
        <f t="shared" si="2"/>
        <v>0</v>
      </c>
      <c r="J20" s="643">
        <f t="shared" si="2"/>
        <v>-15105.599999999999</v>
      </c>
    </row>
    <row r="21" spans="1:10" x14ac:dyDescent="0.25">
      <c r="A21" s="620" t="s">
        <v>307</v>
      </c>
      <c r="B21" s="621">
        <v>8947.15</v>
      </c>
      <c r="C21" s="623">
        <v>2251.5500000000002</v>
      </c>
      <c r="D21" s="643">
        <f t="shared" si="0"/>
        <v>11198.7</v>
      </c>
      <c r="E21" s="621">
        <v>1979.21</v>
      </c>
      <c r="F21" s="623">
        <v>0</v>
      </c>
      <c r="G21" s="642">
        <f t="shared" si="1"/>
        <v>1979.21</v>
      </c>
      <c r="H21" s="615">
        <f t="shared" si="2"/>
        <v>-6967.94</v>
      </c>
      <c r="I21" s="617">
        <f t="shared" si="2"/>
        <v>-2251.5500000000002</v>
      </c>
      <c r="J21" s="643">
        <f t="shared" si="2"/>
        <v>-9219.4900000000016</v>
      </c>
    </row>
    <row r="22" spans="1:10" x14ac:dyDescent="0.25">
      <c r="A22" s="620" t="s">
        <v>308</v>
      </c>
      <c r="B22" s="621">
        <v>0</v>
      </c>
      <c r="C22" s="623">
        <v>0</v>
      </c>
      <c r="D22" s="643">
        <f t="shared" si="0"/>
        <v>0</v>
      </c>
      <c r="E22" s="621">
        <v>0</v>
      </c>
      <c r="F22" s="623">
        <v>0</v>
      </c>
      <c r="G22" s="642">
        <f t="shared" si="1"/>
        <v>0</v>
      </c>
      <c r="H22" s="615">
        <f t="shared" si="2"/>
        <v>0</v>
      </c>
      <c r="I22" s="617">
        <f t="shared" si="2"/>
        <v>0</v>
      </c>
      <c r="J22" s="643">
        <f t="shared" si="2"/>
        <v>0</v>
      </c>
    </row>
    <row r="23" spans="1:10" x14ac:dyDescent="0.25">
      <c r="A23" s="620" t="s">
        <v>309</v>
      </c>
      <c r="B23" s="621">
        <v>66964676.420000002</v>
      </c>
      <c r="C23" s="623">
        <v>2519305.38</v>
      </c>
      <c r="D23" s="643">
        <f t="shared" si="0"/>
        <v>69483981.799999997</v>
      </c>
      <c r="E23" s="621">
        <v>74334224.590000004</v>
      </c>
      <c r="F23" s="623">
        <v>1668383.12</v>
      </c>
      <c r="G23" s="642">
        <f t="shared" si="1"/>
        <v>76002607.710000008</v>
      </c>
      <c r="H23" s="615">
        <f t="shared" si="2"/>
        <v>7369548.1700000018</v>
      </c>
      <c r="I23" s="617">
        <f t="shared" si="2"/>
        <v>-850922.25999999978</v>
      </c>
      <c r="J23" s="643">
        <f t="shared" si="2"/>
        <v>6518625.9100000113</v>
      </c>
    </row>
    <row r="24" spans="1:10" ht="30" x14ac:dyDescent="0.25">
      <c r="A24" s="620" t="s">
        <v>310</v>
      </c>
      <c r="B24" s="621">
        <v>4420298.22</v>
      </c>
      <c r="C24" s="623">
        <v>6329.5</v>
      </c>
      <c r="D24" s="643">
        <f t="shared" si="0"/>
        <v>4426627.72</v>
      </c>
      <c r="E24" s="621">
        <v>788821.58</v>
      </c>
      <c r="F24" s="623">
        <v>24354.99</v>
      </c>
      <c r="G24" s="642">
        <f t="shared" si="1"/>
        <v>813176.57</v>
      </c>
      <c r="H24" s="615">
        <f t="shared" si="2"/>
        <v>-3631476.6399999997</v>
      </c>
      <c r="I24" s="617">
        <f t="shared" si="2"/>
        <v>18025.490000000002</v>
      </c>
      <c r="J24" s="643">
        <f t="shared" si="2"/>
        <v>-3613451.15</v>
      </c>
    </row>
    <row r="25" spans="1:10" ht="20.25" customHeight="1" x14ac:dyDescent="0.25">
      <c r="A25" s="620" t="s">
        <v>311</v>
      </c>
      <c r="B25" s="621">
        <v>7.44</v>
      </c>
      <c r="C25" s="623">
        <v>0</v>
      </c>
      <c r="D25" s="643">
        <f t="shared" si="0"/>
        <v>7.44</v>
      </c>
      <c r="E25" s="621">
        <v>300</v>
      </c>
      <c r="F25" s="623">
        <v>0</v>
      </c>
      <c r="G25" s="642">
        <f t="shared" si="1"/>
        <v>300</v>
      </c>
      <c r="H25" s="615">
        <f t="shared" si="2"/>
        <v>292.56</v>
      </c>
      <c r="I25" s="617">
        <f t="shared" si="2"/>
        <v>0</v>
      </c>
      <c r="J25" s="643">
        <f t="shared" si="2"/>
        <v>292.56</v>
      </c>
    </row>
    <row r="26" spans="1:10" ht="19.5" customHeight="1" x14ac:dyDescent="0.25">
      <c r="A26" s="620" t="s">
        <v>312</v>
      </c>
      <c r="B26" s="621">
        <v>0</v>
      </c>
      <c r="C26" s="623">
        <v>0</v>
      </c>
      <c r="D26" s="643">
        <f t="shared" si="0"/>
        <v>0</v>
      </c>
      <c r="E26" s="621">
        <v>6937.53</v>
      </c>
      <c r="F26" s="623">
        <v>0</v>
      </c>
      <c r="G26" s="642">
        <f t="shared" si="1"/>
        <v>6937.53</v>
      </c>
      <c r="H26" s="615">
        <f t="shared" si="2"/>
        <v>6937.53</v>
      </c>
      <c r="I26" s="617">
        <f t="shared" si="2"/>
        <v>0</v>
      </c>
      <c r="J26" s="643">
        <f t="shared" si="2"/>
        <v>6937.53</v>
      </c>
    </row>
    <row r="27" spans="1:10" x14ac:dyDescent="0.25">
      <c r="A27" s="620" t="s">
        <v>313</v>
      </c>
      <c r="B27" s="621">
        <v>3104.11</v>
      </c>
      <c r="C27" s="623">
        <v>16402.330000000002</v>
      </c>
      <c r="D27" s="643">
        <f t="shared" si="0"/>
        <v>19506.440000000002</v>
      </c>
      <c r="E27" s="621">
        <v>2273.17</v>
      </c>
      <c r="F27" s="623">
        <v>21268.97</v>
      </c>
      <c r="G27" s="642">
        <f t="shared" si="1"/>
        <v>23542.14</v>
      </c>
      <c r="H27" s="615">
        <f t="shared" si="2"/>
        <v>-830.94</v>
      </c>
      <c r="I27" s="617">
        <f t="shared" si="2"/>
        <v>4866.6399999999994</v>
      </c>
      <c r="J27" s="643">
        <f t="shared" si="2"/>
        <v>4035.6999999999971</v>
      </c>
    </row>
    <row r="28" spans="1:10" ht="30" x14ac:dyDescent="0.25">
      <c r="A28" s="620" t="s">
        <v>314</v>
      </c>
      <c r="B28" s="621">
        <v>0</v>
      </c>
      <c r="C28" s="623">
        <v>0</v>
      </c>
      <c r="D28" s="643">
        <f t="shared" si="0"/>
        <v>0</v>
      </c>
      <c r="E28" s="621">
        <v>0</v>
      </c>
      <c r="F28" s="623">
        <v>0</v>
      </c>
      <c r="G28" s="642">
        <f t="shared" si="1"/>
        <v>0</v>
      </c>
      <c r="H28" s="615">
        <f t="shared" si="2"/>
        <v>0</v>
      </c>
      <c r="I28" s="617">
        <f t="shared" si="2"/>
        <v>0</v>
      </c>
      <c r="J28" s="643">
        <f t="shared" si="2"/>
        <v>0</v>
      </c>
    </row>
    <row r="29" spans="1:10" x14ac:dyDescent="0.25">
      <c r="A29" s="620" t="s">
        <v>329</v>
      </c>
      <c r="B29" s="621">
        <v>4277758.79</v>
      </c>
      <c r="C29" s="623">
        <v>59344.73</v>
      </c>
      <c r="D29" s="643">
        <f t="shared" si="0"/>
        <v>4337103.5200000005</v>
      </c>
      <c r="E29" s="621">
        <v>3870568.69</v>
      </c>
      <c r="F29" s="623">
        <v>121890.68</v>
      </c>
      <c r="G29" s="642">
        <f t="shared" si="1"/>
        <v>3992459.37</v>
      </c>
      <c r="H29" s="615">
        <f t="shared" si="2"/>
        <v>-407190.10000000009</v>
      </c>
      <c r="I29" s="617">
        <f t="shared" si="2"/>
        <v>62545.94999999999</v>
      </c>
      <c r="J29" s="643">
        <f t="shared" si="2"/>
        <v>-344644.15000000037</v>
      </c>
    </row>
    <row r="30" spans="1:10" ht="15" customHeight="1" x14ac:dyDescent="0.25">
      <c r="A30" s="620" t="s">
        <v>316</v>
      </c>
      <c r="B30" s="621">
        <v>0</v>
      </c>
      <c r="C30" s="623">
        <v>0</v>
      </c>
      <c r="D30" s="643">
        <f t="shared" si="0"/>
        <v>0</v>
      </c>
      <c r="E30" s="621">
        <v>0</v>
      </c>
      <c r="F30" s="623">
        <v>0</v>
      </c>
      <c r="G30" s="642">
        <f t="shared" si="1"/>
        <v>0</v>
      </c>
      <c r="H30" s="615">
        <f t="shared" si="2"/>
        <v>0</v>
      </c>
      <c r="I30" s="617">
        <f t="shared" si="2"/>
        <v>0</v>
      </c>
      <c r="J30" s="643">
        <f t="shared" si="2"/>
        <v>0</v>
      </c>
    </row>
    <row r="31" spans="1:10" x14ac:dyDescent="0.25">
      <c r="A31" s="620" t="s">
        <v>317</v>
      </c>
      <c r="B31" s="621">
        <v>315442.21999999997</v>
      </c>
      <c r="C31" s="623">
        <v>4241734.88</v>
      </c>
      <c r="D31" s="643">
        <f t="shared" si="0"/>
        <v>4557177.0999999996</v>
      </c>
      <c r="E31" s="621">
        <v>513944.42</v>
      </c>
      <c r="F31" s="623">
        <v>4652969.4800000004</v>
      </c>
      <c r="G31" s="642">
        <f t="shared" si="1"/>
        <v>5166913.9000000004</v>
      </c>
      <c r="H31" s="615">
        <f t="shared" si="2"/>
        <v>198502.2</v>
      </c>
      <c r="I31" s="617">
        <f t="shared" si="2"/>
        <v>411234.60000000056</v>
      </c>
      <c r="J31" s="643">
        <f t="shared" si="2"/>
        <v>609736.80000000075</v>
      </c>
    </row>
    <row r="32" spans="1:10" ht="23.25" customHeight="1" x14ac:dyDescent="0.25">
      <c r="A32" s="620" t="s">
        <v>318</v>
      </c>
      <c r="B32" s="621">
        <v>25</v>
      </c>
      <c r="C32" s="623">
        <v>0</v>
      </c>
      <c r="D32" s="643">
        <f t="shared" si="0"/>
        <v>25</v>
      </c>
      <c r="E32" s="621">
        <v>0</v>
      </c>
      <c r="F32" s="623">
        <v>0</v>
      </c>
      <c r="G32" s="642">
        <f t="shared" si="1"/>
        <v>0</v>
      </c>
      <c r="H32" s="615">
        <f t="shared" si="2"/>
        <v>-25</v>
      </c>
      <c r="I32" s="617">
        <f t="shared" si="2"/>
        <v>0</v>
      </c>
      <c r="J32" s="643">
        <f t="shared" si="2"/>
        <v>-25</v>
      </c>
    </row>
    <row r="33" spans="1:10" x14ac:dyDescent="0.25">
      <c r="A33" s="620" t="s">
        <v>319</v>
      </c>
      <c r="B33" s="621">
        <v>276973.86</v>
      </c>
      <c r="C33" s="623">
        <v>0</v>
      </c>
      <c r="D33" s="643">
        <f t="shared" si="0"/>
        <v>276973.86</v>
      </c>
      <c r="E33" s="621">
        <v>285177.52</v>
      </c>
      <c r="F33" s="623">
        <v>100</v>
      </c>
      <c r="G33" s="642">
        <f t="shared" si="1"/>
        <v>285277.52</v>
      </c>
      <c r="H33" s="615">
        <f t="shared" si="2"/>
        <v>8203.6600000000326</v>
      </c>
      <c r="I33" s="617">
        <f t="shared" si="2"/>
        <v>100</v>
      </c>
      <c r="J33" s="643">
        <f t="shared" si="2"/>
        <v>8303.6600000000326</v>
      </c>
    </row>
    <row r="34" spans="1:10" x14ac:dyDescent="0.25">
      <c r="A34" s="620" t="s">
        <v>320</v>
      </c>
      <c r="B34" s="621">
        <v>150</v>
      </c>
      <c r="C34" s="623">
        <v>0</v>
      </c>
      <c r="D34" s="643">
        <f t="shared" si="0"/>
        <v>150</v>
      </c>
      <c r="E34" s="621">
        <v>0</v>
      </c>
      <c r="F34" s="623">
        <v>0</v>
      </c>
      <c r="G34" s="642">
        <f t="shared" si="1"/>
        <v>0</v>
      </c>
      <c r="H34" s="615">
        <f t="shared" si="2"/>
        <v>-150</v>
      </c>
      <c r="I34" s="617">
        <f t="shared" si="2"/>
        <v>0</v>
      </c>
      <c r="J34" s="643">
        <f t="shared" si="2"/>
        <v>-150</v>
      </c>
    </row>
    <row r="35" spans="1:10" x14ac:dyDescent="0.25">
      <c r="A35" s="620" t="s">
        <v>321</v>
      </c>
      <c r="B35" s="621">
        <v>0</v>
      </c>
      <c r="C35" s="623">
        <v>0</v>
      </c>
      <c r="D35" s="643">
        <f t="shared" si="0"/>
        <v>0</v>
      </c>
      <c r="E35" s="621">
        <v>0</v>
      </c>
      <c r="F35" s="623">
        <v>0</v>
      </c>
      <c r="G35" s="642">
        <f t="shared" si="1"/>
        <v>0</v>
      </c>
      <c r="H35" s="615">
        <f t="shared" si="2"/>
        <v>0</v>
      </c>
      <c r="I35" s="617">
        <f t="shared" si="2"/>
        <v>0</v>
      </c>
      <c r="J35" s="643">
        <f t="shared" si="2"/>
        <v>0</v>
      </c>
    </row>
    <row r="36" spans="1:10" x14ac:dyDescent="0.25">
      <c r="A36" s="620" t="s">
        <v>323</v>
      </c>
      <c r="B36" s="621">
        <v>0</v>
      </c>
      <c r="C36" s="623"/>
      <c r="D36" s="643"/>
      <c r="E36" s="621">
        <v>27568.76</v>
      </c>
      <c r="F36" s="623">
        <v>0</v>
      </c>
      <c r="G36" s="642">
        <f t="shared" si="1"/>
        <v>27568.76</v>
      </c>
      <c r="H36" s="615">
        <f t="shared" si="2"/>
        <v>27568.76</v>
      </c>
      <c r="I36" s="617">
        <f t="shared" si="2"/>
        <v>0</v>
      </c>
      <c r="J36" s="643">
        <f t="shared" si="2"/>
        <v>27568.76</v>
      </c>
    </row>
    <row r="37" spans="1:10" x14ac:dyDescent="0.25">
      <c r="A37" s="620" t="s">
        <v>322</v>
      </c>
      <c r="B37" s="621">
        <v>15322.72</v>
      </c>
      <c r="C37" s="623">
        <v>0</v>
      </c>
      <c r="D37" s="643">
        <f t="shared" si="0"/>
        <v>15322.72</v>
      </c>
      <c r="E37" s="621">
        <v>0</v>
      </c>
      <c r="F37" s="623">
        <v>0</v>
      </c>
      <c r="G37" s="642">
        <f t="shared" si="1"/>
        <v>0</v>
      </c>
      <c r="H37" s="615">
        <f t="shared" si="2"/>
        <v>-15322.72</v>
      </c>
      <c r="I37" s="617">
        <f t="shared" si="2"/>
        <v>0</v>
      </c>
      <c r="J37" s="643">
        <f t="shared" si="2"/>
        <v>-15322.72</v>
      </c>
    </row>
    <row r="38" spans="1:10" ht="16.5" thickBot="1" x14ac:dyDescent="0.3">
      <c r="A38" s="644" t="s">
        <v>324</v>
      </c>
      <c r="B38" s="627">
        <v>466084179.23000002</v>
      </c>
      <c r="C38" s="629">
        <v>7725</v>
      </c>
      <c r="D38" s="645">
        <f t="shared" si="0"/>
        <v>466091904.23000002</v>
      </c>
      <c r="E38" s="646">
        <v>474995349.88999999</v>
      </c>
      <c r="F38" s="647">
        <v>7639.77</v>
      </c>
      <c r="G38" s="648">
        <f t="shared" si="1"/>
        <v>475002989.65999997</v>
      </c>
      <c r="H38" s="615">
        <f t="shared" si="2"/>
        <v>8911170.6599999666</v>
      </c>
      <c r="I38" s="617">
        <f t="shared" si="2"/>
        <v>-85.229999999999563</v>
      </c>
      <c r="J38" s="643">
        <f t="shared" si="2"/>
        <v>8911085.4299999475</v>
      </c>
    </row>
    <row r="39" spans="1:10" ht="16.5" thickBot="1" x14ac:dyDescent="0.3">
      <c r="A39" s="649" t="s">
        <v>291</v>
      </c>
      <c r="B39" s="650">
        <f t="shared" ref="B39:J39" si="3">SUM(B4:B38)</f>
        <v>588003146.11000001</v>
      </c>
      <c r="C39" s="650">
        <f t="shared" si="3"/>
        <v>26886743.050000001</v>
      </c>
      <c r="D39" s="651">
        <f t="shared" si="3"/>
        <v>614889889.16000009</v>
      </c>
      <c r="E39" s="650">
        <f t="shared" si="3"/>
        <v>600387476.95000005</v>
      </c>
      <c r="F39" s="650">
        <f t="shared" si="3"/>
        <v>29235132.98</v>
      </c>
      <c r="G39" s="652">
        <f t="shared" si="3"/>
        <v>629622609.92999995</v>
      </c>
      <c r="H39" s="650">
        <f t="shared" si="3"/>
        <v>12384330.839999968</v>
      </c>
      <c r="I39" s="653">
        <f t="shared" si="3"/>
        <v>2348389.9300000011</v>
      </c>
      <c r="J39" s="654">
        <f t="shared" si="3"/>
        <v>14732720.769999966</v>
      </c>
    </row>
    <row r="40" spans="1:10" x14ac:dyDescent="0.25">
      <c r="J40" s="460" t="s">
        <v>497</v>
      </c>
    </row>
  </sheetData>
  <mergeCells count="5">
    <mergeCell ref="B2:D2"/>
    <mergeCell ref="E2:G2"/>
    <mergeCell ref="H2:J2"/>
    <mergeCell ref="A1:J1"/>
    <mergeCell ref="A2:A3"/>
  </mergeCells>
  <pageMargins left="0.70866141732283472" right="0.11811023622047245" top="0.74803149606299213" bottom="0.35433070866141736" header="0.31496062992125984" footer="0.31496062992125984"/>
  <pageSetup paperSize="9" scale="70" orientation="landscape" r:id="rId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45"/>
  <sheetViews>
    <sheetView workbookViewId="0">
      <selection sqref="A1:G1"/>
    </sheetView>
  </sheetViews>
  <sheetFormatPr defaultRowHeight="15.75" x14ac:dyDescent="0.25"/>
  <cols>
    <col min="1" max="1" width="37.28515625" style="408" customWidth="1"/>
    <col min="2" max="2" width="16.5703125" style="408" customWidth="1"/>
    <col min="3" max="3" width="9.85546875" style="410" customWidth="1"/>
    <col min="4" max="4" width="16.42578125" style="408" bestFit="1" customWidth="1"/>
    <col min="5" max="5" width="9.85546875" style="408" customWidth="1"/>
    <col min="6" max="6" width="16.85546875" style="408" customWidth="1"/>
    <col min="7" max="7" width="13.140625" style="411" customWidth="1"/>
    <col min="8" max="8" width="3.42578125" style="408" customWidth="1"/>
    <col min="9" max="12" width="14.85546875" style="408" customWidth="1"/>
    <col min="13" max="16384" width="9.140625" style="408"/>
  </cols>
  <sheetData>
    <row r="1" spans="1:11" ht="48.75" customHeight="1" thickBot="1" x14ac:dyDescent="0.3">
      <c r="A1" s="1035" t="s">
        <v>555</v>
      </c>
      <c r="B1" s="1035"/>
      <c r="C1" s="1035"/>
      <c r="D1" s="1035"/>
      <c r="E1" s="1035"/>
      <c r="F1" s="1035"/>
      <c r="G1" s="1035"/>
      <c r="H1" s="407"/>
      <c r="I1" s="407"/>
      <c r="J1" s="407"/>
      <c r="K1" s="407"/>
    </row>
    <row r="2" spans="1:11" s="409" customFormat="1" ht="45.75" thickBot="1" x14ac:dyDescent="0.3">
      <c r="A2" s="655" t="s">
        <v>133</v>
      </c>
      <c r="B2" s="916" t="s">
        <v>135</v>
      </c>
      <c r="C2" s="610" t="s">
        <v>61</v>
      </c>
      <c r="D2" s="611" t="s">
        <v>330</v>
      </c>
      <c r="E2" s="656" t="s">
        <v>61</v>
      </c>
      <c r="F2" s="611" t="s">
        <v>331</v>
      </c>
      <c r="G2" s="657" t="s">
        <v>61</v>
      </c>
    </row>
    <row r="3" spans="1:11" x14ac:dyDescent="0.25">
      <c r="A3" s="614" t="s">
        <v>136</v>
      </c>
      <c r="B3" s="658">
        <v>31389607.739999998</v>
      </c>
      <c r="C3" s="659">
        <f t="shared" ref="C3:C34" si="0">B3/$B$40</f>
        <v>5.3116502865340261E-2</v>
      </c>
      <c r="D3" s="617">
        <v>3303049.87</v>
      </c>
      <c r="E3" s="659">
        <f t="shared" ref="E3:E37" si="1">D3/$D$40</f>
        <v>0.12954001859062195</v>
      </c>
      <c r="F3" s="498">
        <f t="shared" ref="F3:F44" si="2">B3+D3</f>
        <v>34692657.609999999</v>
      </c>
      <c r="G3" s="660">
        <f t="shared" ref="G3:G40" si="3">F3/$F$40</f>
        <v>5.6277587242630878E-2</v>
      </c>
    </row>
    <row r="4" spans="1:11" x14ac:dyDescent="0.25">
      <c r="A4" s="620" t="s">
        <v>137</v>
      </c>
      <c r="B4" s="661">
        <v>32881009.039999999</v>
      </c>
      <c r="C4" s="662">
        <f t="shared" si="0"/>
        <v>5.5640205043493769E-2</v>
      </c>
      <c r="D4" s="623">
        <v>2323328.33</v>
      </c>
      <c r="E4" s="662">
        <f t="shared" si="1"/>
        <v>9.111700001681132E-2</v>
      </c>
      <c r="F4" s="501">
        <f t="shared" si="2"/>
        <v>35204337.369999997</v>
      </c>
      <c r="G4" s="663">
        <f t="shared" si="3"/>
        <v>5.7107621731697748E-2</v>
      </c>
    </row>
    <row r="5" spans="1:11" x14ac:dyDescent="0.25">
      <c r="A5" s="620" t="s">
        <v>615</v>
      </c>
      <c r="B5" s="661">
        <v>3849351.25</v>
      </c>
      <c r="C5" s="662">
        <f t="shared" si="0"/>
        <v>6.513750614340303E-3</v>
      </c>
      <c r="D5" s="623">
        <v>688401.88</v>
      </c>
      <c r="E5" s="662">
        <f t="shared" si="1"/>
        <v>2.6997955175596274E-2</v>
      </c>
      <c r="F5" s="501">
        <f t="shared" si="2"/>
        <v>4537753.13</v>
      </c>
      <c r="G5" s="663">
        <f t="shared" si="3"/>
        <v>7.3610330038678274E-3</v>
      </c>
    </row>
    <row r="6" spans="1:11" x14ac:dyDescent="0.25">
      <c r="A6" s="620" t="s">
        <v>138</v>
      </c>
      <c r="B6" s="661">
        <v>12732939.439999999</v>
      </c>
      <c r="C6" s="662">
        <f t="shared" si="0"/>
        <v>2.1546277986364031E-2</v>
      </c>
      <c r="D6" s="623">
        <v>1300809.3</v>
      </c>
      <c r="E6" s="662">
        <f t="shared" si="1"/>
        <v>5.1015536409340957E-2</v>
      </c>
      <c r="F6" s="501">
        <f t="shared" si="2"/>
        <v>14033748.74</v>
      </c>
      <c r="G6" s="663">
        <f t="shared" si="3"/>
        <v>2.2765206630605869E-2</v>
      </c>
    </row>
    <row r="7" spans="1:11" x14ac:dyDescent="0.25">
      <c r="A7" s="620" t="s">
        <v>139</v>
      </c>
      <c r="B7" s="661">
        <v>7615755.3799999999</v>
      </c>
      <c r="C7" s="662">
        <f t="shared" si="0"/>
        <v>1.2887140731867601E-2</v>
      </c>
      <c r="D7" s="623">
        <v>305137.63</v>
      </c>
      <c r="E7" s="662">
        <f t="shared" si="1"/>
        <v>1.1966980765839397E-2</v>
      </c>
      <c r="F7" s="501">
        <f t="shared" si="2"/>
        <v>7920893.0099999998</v>
      </c>
      <c r="G7" s="663">
        <f t="shared" si="3"/>
        <v>1.2849080414102645E-2</v>
      </c>
    </row>
    <row r="8" spans="1:11" x14ac:dyDescent="0.25">
      <c r="A8" s="620" t="s">
        <v>616</v>
      </c>
      <c r="B8" s="661">
        <v>476194.62</v>
      </c>
      <c r="C8" s="662">
        <f t="shared" si="0"/>
        <v>8.0580149669909893E-4</v>
      </c>
      <c r="D8" s="623">
        <v>158549.26999999999</v>
      </c>
      <c r="E8" s="662">
        <f t="shared" si="1"/>
        <v>6.2180336936086093E-3</v>
      </c>
      <c r="F8" s="501">
        <f t="shared" si="2"/>
        <v>634743.89</v>
      </c>
      <c r="G8" s="663">
        <f t="shared" si="3"/>
        <v>1.0296661341939175E-3</v>
      </c>
    </row>
    <row r="9" spans="1:11" x14ac:dyDescent="0.25">
      <c r="A9" s="620" t="s">
        <v>140</v>
      </c>
      <c r="B9" s="661">
        <v>40053950.259999998</v>
      </c>
      <c r="C9" s="662">
        <f t="shared" si="0"/>
        <v>6.7778029638846535E-2</v>
      </c>
      <c r="D9" s="623">
        <v>5524745.9699999997</v>
      </c>
      <c r="E9" s="662">
        <f t="shared" si="1"/>
        <v>0.2166711747716554</v>
      </c>
      <c r="F9" s="501">
        <f t="shared" si="2"/>
        <v>45578696.229999997</v>
      </c>
      <c r="G9" s="663">
        <f t="shared" si="3"/>
        <v>7.3936654906190558E-2</v>
      </c>
    </row>
    <row r="10" spans="1:11" x14ac:dyDescent="0.25">
      <c r="A10" s="620" t="s">
        <v>141</v>
      </c>
      <c r="B10" s="661">
        <v>244096124.71000001</v>
      </c>
      <c r="C10" s="662">
        <f t="shared" si="0"/>
        <v>0.41305175314615672</v>
      </c>
      <c r="D10" s="623">
        <v>8472470.4800000004</v>
      </c>
      <c r="E10" s="662">
        <f t="shared" si="1"/>
        <v>0.33227593487339496</v>
      </c>
      <c r="F10" s="501">
        <f t="shared" si="2"/>
        <v>252568595.19</v>
      </c>
      <c r="G10" s="663">
        <f t="shared" si="3"/>
        <v>0.40971064570322335</v>
      </c>
    </row>
    <row r="11" spans="1:11" x14ac:dyDescent="0.25">
      <c r="A11" s="620" t="s">
        <v>141</v>
      </c>
      <c r="B11" s="661">
        <v>78030590.430000007</v>
      </c>
      <c r="C11" s="662">
        <f t="shared" si="0"/>
        <v>0.1320409007493793</v>
      </c>
      <c r="D11" s="623">
        <v>1382034.7</v>
      </c>
      <c r="E11" s="662">
        <f t="shared" si="1"/>
        <v>5.4201058953701059E-2</v>
      </c>
      <c r="F11" s="501">
        <f t="shared" si="2"/>
        <v>79412625.13000001</v>
      </c>
      <c r="G11" s="663">
        <f t="shared" si="3"/>
        <v>0.12882123327535749</v>
      </c>
    </row>
    <row r="12" spans="1:11" x14ac:dyDescent="0.25">
      <c r="A12" s="641" t="s">
        <v>142</v>
      </c>
      <c r="B12" s="661">
        <v>1351294.44</v>
      </c>
      <c r="C12" s="662">
        <f t="shared" si="0"/>
        <v>2.2866177745417843E-3</v>
      </c>
      <c r="D12" s="623">
        <v>27366.12</v>
      </c>
      <c r="E12" s="662">
        <f t="shared" si="1"/>
        <v>1.0732528520840017E-3</v>
      </c>
      <c r="F12" s="501">
        <f t="shared" si="2"/>
        <v>1378660.56</v>
      </c>
      <c r="G12" s="663">
        <f t="shared" si="3"/>
        <v>2.2364297026645215E-3</v>
      </c>
    </row>
    <row r="13" spans="1:11" x14ac:dyDescent="0.25">
      <c r="A13" s="620" t="s">
        <v>143</v>
      </c>
      <c r="B13" s="661">
        <v>9831102.9399999995</v>
      </c>
      <c r="C13" s="662">
        <f t="shared" si="0"/>
        <v>1.6635881907390956E-2</v>
      </c>
      <c r="D13" s="623">
        <v>131370.01</v>
      </c>
      <c r="E13" s="662">
        <f t="shared" si="1"/>
        <v>5.1521091740737756E-3</v>
      </c>
      <c r="F13" s="501">
        <f t="shared" si="2"/>
        <v>9962472.9499999993</v>
      </c>
      <c r="G13" s="663">
        <f t="shared" si="3"/>
        <v>1.6160881847067442E-2</v>
      </c>
    </row>
    <row r="14" spans="1:11" x14ac:dyDescent="0.25">
      <c r="A14" s="620" t="s">
        <v>144</v>
      </c>
      <c r="B14" s="661">
        <v>16485.5</v>
      </c>
      <c r="C14" s="662">
        <f t="shared" si="0"/>
        <v>2.7896242451947474E-5</v>
      </c>
      <c r="D14" s="623">
        <v>7499.01</v>
      </c>
      <c r="E14" s="662">
        <f t="shared" si="1"/>
        <v>2.9409846446286321E-4</v>
      </c>
      <c r="F14" s="501">
        <f t="shared" si="2"/>
        <v>23984.510000000002</v>
      </c>
      <c r="G14" s="663">
        <f t="shared" si="3"/>
        <v>3.8907090058378288E-5</v>
      </c>
    </row>
    <row r="15" spans="1:11" x14ac:dyDescent="0.25">
      <c r="A15" s="620" t="s">
        <v>145</v>
      </c>
      <c r="B15" s="661">
        <v>315.42</v>
      </c>
      <c r="C15" s="662">
        <f t="shared" si="0"/>
        <v>5.3374376234832261E-7</v>
      </c>
      <c r="D15" s="623">
        <v>32033.54</v>
      </c>
      <c r="E15" s="662">
        <f t="shared" si="1"/>
        <v>1.2563011551271043E-3</v>
      </c>
      <c r="F15" s="501">
        <f t="shared" si="2"/>
        <v>32348.959999999999</v>
      </c>
      <c r="G15" s="663">
        <f t="shared" si="3"/>
        <v>5.2475697857278585E-5</v>
      </c>
    </row>
    <row r="16" spans="1:11" x14ac:dyDescent="0.25">
      <c r="A16" s="620" t="s">
        <v>146</v>
      </c>
      <c r="B16" s="661">
        <v>466649.94</v>
      </c>
      <c r="C16" s="662">
        <f t="shared" si="0"/>
        <v>7.8965029064491463E-4</v>
      </c>
      <c r="D16" s="623">
        <v>161253.71</v>
      </c>
      <c r="E16" s="662">
        <f t="shared" si="1"/>
        <v>6.3240972474953149E-3</v>
      </c>
      <c r="F16" s="501">
        <f t="shared" si="2"/>
        <v>627903.65</v>
      </c>
      <c r="G16" s="663">
        <f t="shared" si="3"/>
        <v>1.0185700628670103E-3</v>
      </c>
    </row>
    <row r="17" spans="1:7" x14ac:dyDescent="0.25">
      <c r="A17" s="620" t="s">
        <v>147</v>
      </c>
      <c r="B17" s="661">
        <v>481639.49</v>
      </c>
      <c r="C17" s="662">
        <f t="shared" si="0"/>
        <v>8.1501513375222651E-4</v>
      </c>
      <c r="D17" s="623">
        <v>74428.41</v>
      </c>
      <c r="E17" s="662">
        <f t="shared" si="1"/>
        <v>2.9189561146621234E-3</v>
      </c>
      <c r="F17" s="501">
        <f t="shared" si="2"/>
        <v>556067.9</v>
      </c>
      <c r="G17" s="663">
        <f t="shared" si="3"/>
        <v>9.0203985254955351E-4</v>
      </c>
    </row>
    <row r="18" spans="1:7" x14ac:dyDescent="0.25">
      <c r="A18" s="620" t="s">
        <v>148</v>
      </c>
      <c r="B18" s="661">
        <v>69334.11</v>
      </c>
      <c r="C18" s="662">
        <f t="shared" si="0"/>
        <v>1.1732499121955632E-4</v>
      </c>
      <c r="D18" s="623">
        <v>73.52</v>
      </c>
      <c r="E18" s="662">
        <f t="shared" si="1"/>
        <v>2.8833298138433874E-6</v>
      </c>
      <c r="F18" s="501">
        <f t="shared" si="2"/>
        <v>69407.63</v>
      </c>
      <c r="G18" s="663">
        <f t="shared" si="3"/>
        <v>1.1259137297983568E-4</v>
      </c>
    </row>
    <row r="19" spans="1:7" x14ac:dyDescent="0.25">
      <c r="A19" s="620" t="s">
        <v>149</v>
      </c>
      <c r="B19" s="661">
        <v>57245.8</v>
      </c>
      <c r="C19" s="662">
        <f t="shared" si="0"/>
        <v>9.6869534812756347E-5</v>
      </c>
      <c r="D19" s="623">
        <v>13576.52</v>
      </c>
      <c r="E19" s="662">
        <f t="shared" si="1"/>
        <v>5.3244810778347424E-4</v>
      </c>
      <c r="F19" s="501">
        <f t="shared" si="2"/>
        <v>70822.320000000007</v>
      </c>
      <c r="G19" s="663">
        <f t="shared" si="3"/>
        <v>1.1488624876569443E-4</v>
      </c>
    </row>
    <row r="20" spans="1:7" x14ac:dyDescent="0.25">
      <c r="A20" s="620" t="s">
        <v>150</v>
      </c>
      <c r="B20" s="661">
        <v>40220.720000000001</v>
      </c>
      <c r="C20" s="662">
        <f t="shared" si="0"/>
        <v>6.8060232125922347E-5</v>
      </c>
      <c r="D20" s="623">
        <v>86663.12</v>
      </c>
      <c r="E20" s="662">
        <f t="shared" si="1"/>
        <v>3.3987807080615769E-3</v>
      </c>
      <c r="F20" s="501">
        <f t="shared" si="2"/>
        <v>126883.84</v>
      </c>
      <c r="G20" s="663">
        <f t="shared" si="3"/>
        <v>2.0582788599111929E-4</v>
      </c>
    </row>
    <row r="21" spans="1:7" x14ac:dyDescent="0.25">
      <c r="A21" s="620" t="s">
        <v>151</v>
      </c>
      <c r="B21" s="661">
        <v>906.12</v>
      </c>
      <c r="C21" s="662">
        <f t="shared" si="0"/>
        <v>1.5333076467537316E-6</v>
      </c>
      <c r="D21" s="623">
        <v>6275.97</v>
      </c>
      <c r="E21" s="662">
        <f t="shared" si="1"/>
        <v>2.4613290821255012E-4</v>
      </c>
      <c r="F21" s="501">
        <f t="shared" si="2"/>
        <v>7182.09</v>
      </c>
      <c r="G21" s="663">
        <f t="shared" si="3"/>
        <v>1.1650612100784135E-5</v>
      </c>
    </row>
    <row r="22" spans="1:7" x14ac:dyDescent="0.25">
      <c r="A22" s="620" t="s">
        <v>152</v>
      </c>
      <c r="B22" s="661">
        <v>47335.38</v>
      </c>
      <c r="C22" s="662">
        <f t="shared" si="0"/>
        <v>8.0099435081439158E-5</v>
      </c>
      <c r="D22" s="623">
        <v>7052.68</v>
      </c>
      <c r="E22" s="662">
        <f t="shared" si="1"/>
        <v>2.7659415820860969E-4</v>
      </c>
      <c r="F22" s="501">
        <f t="shared" si="2"/>
        <v>54388.06</v>
      </c>
      <c r="G22" s="663">
        <f t="shared" si="3"/>
        <v>8.8226991025477751E-5</v>
      </c>
    </row>
    <row r="23" spans="1:7" x14ac:dyDescent="0.25">
      <c r="A23" s="620" t="s">
        <v>153</v>
      </c>
      <c r="B23" s="661">
        <v>5941.76</v>
      </c>
      <c r="C23" s="662">
        <f t="shared" si="0"/>
        <v>1.0054458618257465E-5</v>
      </c>
      <c r="D23" s="623">
        <v>865.95</v>
      </c>
      <c r="E23" s="662">
        <f t="shared" si="1"/>
        <v>3.3961091570969553E-5</v>
      </c>
      <c r="F23" s="501">
        <f t="shared" si="2"/>
        <v>6807.71</v>
      </c>
      <c r="G23" s="663">
        <f t="shared" si="3"/>
        <v>1.104330195035556E-5</v>
      </c>
    </row>
    <row r="24" spans="1:7" x14ac:dyDescent="0.25">
      <c r="A24" s="620" t="s">
        <v>154</v>
      </c>
      <c r="B24" s="661">
        <v>205520.24</v>
      </c>
      <c r="C24" s="662">
        <f t="shared" si="0"/>
        <v>3.4777485935048576E-4</v>
      </c>
      <c r="D24" s="623">
        <v>6035.5</v>
      </c>
      <c r="E24" s="662">
        <f t="shared" si="1"/>
        <v>2.3670208231027972E-4</v>
      </c>
      <c r="F24" s="501">
        <f t="shared" si="2"/>
        <v>211555.74</v>
      </c>
      <c r="G24" s="663">
        <f t="shared" si="3"/>
        <v>3.4318058732685642E-4</v>
      </c>
    </row>
    <row r="25" spans="1:7" x14ac:dyDescent="0.25">
      <c r="A25" s="620" t="s">
        <v>155</v>
      </c>
      <c r="B25" s="661">
        <v>160886.29</v>
      </c>
      <c r="C25" s="662">
        <f t="shared" si="0"/>
        <v>2.7224669879799416E-4</v>
      </c>
      <c r="D25" s="623">
        <v>6753.18</v>
      </c>
      <c r="E25" s="662">
        <f t="shared" si="1"/>
        <v>2.6484827573790656E-4</v>
      </c>
      <c r="F25" s="501">
        <f t="shared" si="2"/>
        <v>167639.47</v>
      </c>
      <c r="G25" s="663">
        <f t="shared" si="3"/>
        <v>2.7194067990668995E-4</v>
      </c>
    </row>
    <row r="26" spans="1:7" x14ac:dyDescent="0.25">
      <c r="A26" s="620" t="s">
        <v>156</v>
      </c>
      <c r="B26" s="661">
        <v>48698005.310000002</v>
      </c>
      <c r="C26" s="662">
        <f t="shared" si="0"/>
        <v>8.2405226596341363E-2</v>
      </c>
      <c r="D26" s="623">
        <v>624241.18000000005</v>
      </c>
      <c r="E26" s="662">
        <f t="shared" si="1"/>
        <v>2.4481681247589454E-2</v>
      </c>
      <c r="F26" s="501">
        <f t="shared" si="2"/>
        <v>49322246.490000002</v>
      </c>
      <c r="G26" s="663">
        <f t="shared" si="3"/>
        <v>8.0009351288309091E-2</v>
      </c>
    </row>
    <row r="27" spans="1:7" ht="30" x14ac:dyDescent="0.25">
      <c r="A27" s="620" t="s">
        <v>333</v>
      </c>
      <c r="B27" s="661">
        <v>46309128.289999999</v>
      </c>
      <c r="C27" s="662">
        <f t="shared" si="0"/>
        <v>7.8362844349044891E-2</v>
      </c>
      <c r="D27" s="623">
        <v>773372.69</v>
      </c>
      <c r="E27" s="662">
        <f t="shared" si="1"/>
        <v>3.0330366353227143E-2</v>
      </c>
      <c r="F27" s="501">
        <f t="shared" si="2"/>
        <v>47082500.979999997</v>
      </c>
      <c r="G27" s="663">
        <f t="shared" si="3"/>
        <v>7.6376090476834579E-2</v>
      </c>
    </row>
    <row r="28" spans="1:7" ht="30" x14ac:dyDescent="0.25">
      <c r="A28" s="620" t="s">
        <v>334</v>
      </c>
      <c r="B28" s="661">
        <v>753559.11</v>
      </c>
      <c r="C28" s="662">
        <f t="shared" si="0"/>
        <v>1.2751489269014439E-3</v>
      </c>
      <c r="D28" s="623">
        <v>127.95</v>
      </c>
      <c r="E28" s="662">
        <f t="shared" si="1"/>
        <v>5.017982177383861E-6</v>
      </c>
      <c r="F28" s="501">
        <f t="shared" si="2"/>
        <v>753687.05999999994</v>
      </c>
      <c r="G28" s="663">
        <f t="shared" si="3"/>
        <v>1.2226128580177104E-3</v>
      </c>
    </row>
    <row r="29" spans="1:7" x14ac:dyDescent="0.25">
      <c r="A29" s="620" t="s">
        <v>335</v>
      </c>
      <c r="B29" s="661">
        <v>6937.53</v>
      </c>
      <c r="C29" s="662">
        <f t="shared" si="0"/>
        <v>1.1739469163668626E-5</v>
      </c>
      <c r="D29" s="623">
        <v>0</v>
      </c>
      <c r="E29" s="662">
        <f t="shared" si="1"/>
        <v>0</v>
      </c>
      <c r="F29" s="501">
        <f t="shared" si="2"/>
        <v>6937.53</v>
      </c>
      <c r="G29" s="663">
        <f t="shared" si="3"/>
        <v>1.1253892803843026E-5</v>
      </c>
    </row>
    <row r="30" spans="1:7" x14ac:dyDescent="0.25">
      <c r="A30" s="620" t="s">
        <v>157</v>
      </c>
      <c r="B30" s="661">
        <v>0</v>
      </c>
      <c r="C30" s="662">
        <f t="shared" si="0"/>
        <v>0</v>
      </c>
      <c r="D30" s="623">
        <v>18466.97</v>
      </c>
      <c r="E30" s="662">
        <f t="shared" si="1"/>
        <v>7.2424326948247308E-4</v>
      </c>
      <c r="F30" s="501">
        <f t="shared" si="2"/>
        <v>18466.97</v>
      </c>
      <c r="G30" s="663">
        <f t="shared" si="3"/>
        <v>2.9956670571771951E-5</v>
      </c>
    </row>
    <row r="31" spans="1:7" ht="30" x14ac:dyDescent="0.25">
      <c r="A31" s="620" t="s">
        <v>336</v>
      </c>
      <c r="B31" s="661">
        <v>0</v>
      </c>
      <c r="C31" s="662">
        <f t="shared" si="0"/>
        <v>0</v>
      </c>
      <c r="D31" s="623">
        <v>0</v>
      </c>
      <c r="E31" s="662">
        <f t="shared" si="1"/>
        <v>0</v>
      </c>
      <c r="F31" s="501">
        <f t="shared" si="2"/>
        <v>0</v>
      </c>
      <c r="G31" s="663">
        <f t="shared" si="3"/>
        <v>0</v>
      </c>
    </row>
    <row r="32" spans="1:7" x14ac:dyDescent="0.25">
      <c r="A32" s="620" t="s">
        <v>158</v>
      </c>
      <c r="B32" s="661">
        <v>29624594.440000001</v>
      </c>
      <c r="C32" s="662">
        <f t="shared" si="0"/>
        <v>5.0129803102050598E-2</v>
      </c>
      <c r="D32" s="623">
        <v>14944.19</v>
      </c>
      <c r="E32" s="662">
        <f t="shared" si="1"/>
        <v>5.8608580754543273E-4</v>
      </c>
      <c r="F32" s="501">
        <f t="shared" si="2"/>
        <v>29639538.630000003</v>
      </c>
      <c r="G32" s="663">
        <f t="shared" si="3"/>
        <v>4.8080540263953371E-2</v>
      </c>
    </row>
    <row r="33" spans="1:7" ht="30" x14ac:dyDescent="0.25">
      <c r="A33" s="620" t="s">
        <v>337</v>
      </c>
      <c r="B33" s="661">
        <v>0</v>
      </c>
      <c r="C33" s="662">
        <f t="shared" si="0"/>
        <v>0</v>
      </c>
      <c r="D33" s="623">
        <v>0</v>
      </c>
      <c r="E33" s="662">
        <f t="shared" si="1"/>
        <v>0</v>
      </c>
      <c r="F33" s="501">
        <f t="shared" si="2"/>
        <v>0</v>
      </c>
      <c r="G33" s="663">
        <f t="shared" si="3"/>
        <v>0</v>
      </c>
    </row>
    <row r="34" spans="1:7" ht="30" x14ac:dyDescent="0.25">
      <c r="A34" s="620" t="s">
        <v>338</v>
      </c>
      <c r="B34" s="661">
        <v>536477.38</v>
      </c>
      <c r="C34" s="662">
        <f t="shared" si="0"/>
        <v>9.0781007931003347E-4</v>
      </c>
      <c r="D34" s="623">
        <v>46793.4</v>
      </c>
      <c r="E34" s="662">
        <f t="shared" si="1"/>
        <v>1.8351578524360606E-3</v>
      </c>
      <c r="F34" s="501">
        <f t="shared" si="2"/>
        <v>583270.78</v>
      </c>
      <c r="G34" s="663">
        <f t="shared" si="3"/>
        <v>9.4616770431751776E-4</v>
      </c>
    </row>
    <row r="35" spans="1:7" ht="30" x14ac:dyDescent="0.25">
      <c r="A35" s="620" t="s">
        <v>339</v>
      </c>
      <c r="B35" s="664">
        <v>0</v>
      </c>
      <c r="C35" s="662">
        <f>B36/$B$40</f>
        <v>1.812848285221575E-3</v>
      </c>
      <c r="D35" s="623">
        <v>0</v>
      </c>
      <c r="E35" s="662">
        <f t="shared" si="1"/>
        <v>0</v>
      </c>
      <c r="F35" s="501">
        <f>B36+D35</f>
        <v>1071316.7</v>
      </c>
      <c r="G35" s="663">
        <f t="shared" si="3"/>
        <v>1.7378639516898459E-3</v>
      </c>
    </row>
    <row r="36" spans="1:7" ht="30" x14ac:dyDescent="0.25">
      <c r="A36" s="620" t="s">
        <v>160</v>
      </c>
      <c r="B36" s="661">
        <v>1071316.7</v>
      </c>
      <c r="C36" s="662">
        <f>B37/$B$40</f>
        <v>1.6465830928109223E-4</v>
      </c>
      <c r="D36" s="623">
        <v>575.97</v>
      </c>
      <c r="E36" s="662">
        <f t="shared" si="1"/>
        <v>2.2588567367782589E-5</v>
      </c>
      <c r="F36" s="501">
        <f>B37+D36</f>
        <v>97882.07</v>
      </c>
      <c r="G36" s="663">
        <f t="shared" si="3"/>
        <v>1.5878191852118252E-4</v>
      </c>
    </row>
    <row r="37" spans="1:7" ht="30" x14ac:dyDescent="0.25">
      <c r="A37" s="620" t="s">
        <v>161</v>
      </c>
      <c r="B37" s="661">
        <v>97306.1</v>
      </c>
      <c r="C37" s="662">
        <f>B38/$B$40</f>
        <v>0</v>
      </c>
      <c r="D37" s="623">
        <v>0</v>
      </c>
      <c r="E37" s="662">
        <f t="shared" si="1"/>
        <v>0</v>
      </c>
      <c r="F37" s="501">
        <f>B38+D37</f>
        <v>0</v>
      </c>
      <c r="G37" s="663">
        <f t="shared" si="3"/>
        <v>0</v>
      </c>
    </row>
    <row r="38" spans="1:7" ht="30" x14ac:dyDescent="0.25">
      <c r="A38" s="626" t="s">
        <v>340</v>
      </c>
      <c r="B38" s="661">
        <v>0</v>
      </c>
      <c r="C38" s="662">
        <f>B38/$B$40</f>
        <v>0</v>
      </c>
      <c r="D38" s="629">
        <v>0</v>
      </c>
      <c r="E38" s="665"/>
      <c r="F38" s="504"/>
      <c r="G38" s="663">
        <f t="shared" si="3"/>
        <v>0</v>
      </c>
    </row>
    <row r="39" spans="1:7" ht="30.75" thickBot="1" x14ac:dyDescent="0.3">
      <c r="A39" s="626" t="s">
        <v>341</v>
      </c>
      <c r="B39" s="670">
        <v>0</v>
      </c>
      <c r="C39" s="665">
        <f>B39/$B$40</f>
        <v>0</v>
      </c>
      <c r="D39" s="629">
        <v>0</v>
      </c>
      <c r="E39" s="665">
        <f>D39/$D$40</f>
        <v>0</v>
      </c>
      <c r="F39" s="504">
        <f t="shared" si="2"/>
        <v>0</v>
      </c>
      <c r="G39" s="666">
        <f t="shared" si="3"/>
        <v>0</v>
      </c>
    </row>
    <row r="40" spans="1:7" ht="16.5" thickBot="1" x14ac:dyDescent="0.3">
      <c r="A40" s="674" t="s">
        <v>18</v>
      </c>
      <c r="B40" s="675">
        <f>SUM(B3:B39)</f>
        <v>590957725.88000023</v>
      </c>
      <c r="C40" s="676">
        <f>B40/$B$40</f>
        <v>1</v>
      </c>
      <c r="D40" s="677">
        <f>SUM(D3:D39)</f>
        <v>25498297.02</v>
      </c>
      <c r="E40" s="676">
        <f>D40/$D$40</f>
        <v>1</v>
      </c>
      <c r="F40" s="677">
        <f>SUM(F3:F39)</f>
        <v>616456022.89999986</v>
      </c>
      <c r="G40" s="678">
        <f t="shared" si="3"/>
        <v>1</v>
      </c>
    </row>
    <row r="41" spans="1:7" ht="27.75" customHeight="1" x14ac:dyDescent="0.25">
      <c r="A41" s="641" t="s">
        <v>342</v>
      </c>
      <c r="B41" s="497">
        <v>9429750.9700000007</v>
      </c>
      <c r="C41" s="671"/>
      <c r="D41" s="498">
        <v>3736835.96</v>
      </c>
      <c r="E41" s="672"/>
      <c r="F41" s="498">
        <f t="shared" si="2"/>
        <v>13166586.93</v>
      </c>
      <c r="G41" s="673"/>
    </row>
    <row r="42" spans="1:7" x14ac:dyDescent="0.25">
      <c r="A42" s="620" t="s">
        <v>326</v>
      </c>
      <c r="B42" s="500">
        <v>-119367.22</v>
      </c>
      <c r="C42" s="668"/>
      <c r="D42" s="501">
        <v>657291.87</v>
      </c>
      <c r="E42" s="669"/>
      <c r="F42" s="501">
        <f t="shared" si="2"/>
        <v>537924.65</v>
      </c>
      <c r="G42" s="667"/>
    </row>
    <row r="43" spans="1:7" ht="22.5" customHeight="1" thickBot="1" x14ac:dyDescent="0.3">
      <c r="A43" s="626" t="s">
        <v>327</v>
      </c>
      <c r="B43" s="503">
        <v>0</v>
      </c>
      <c r="C43" s="679"/>
      <c r="D43" s="504">
        <v>0</v>
      </c>
      <c r="E43" s="680"/>
      <c r="F43" s="504">
        <f t="shared" si="2"/>
        <v>0</v>
      </c>
      <c r="G43" s="681"/>
    </row>
    <row r="44" spans="1:7" ht="16.5" thickBot="1" x14ac:dyDescent="0.3">
      <c r="A44" s="687" t="s">
        <v>328</v>
      </c>
      <c r="B44" s="675">
        <f>B41-(B42+B43)</f>
        <v>9549118.1900000013</v>
      </c>
      <c r="C44" s="682"/>
      <c r="D44" s="677">
        <f>D41-(D42+D43)</f>
        <v>3079544.09</v>
      </c>
      <c r="E44" s="683"/>
      <c r="F44" s="653">
        <f t="shared" si="2"/>
        <v>12628662.280000001</v>
      </c>
      <c r="G44" s="684"/>
    </row>
    <row r="45" spans="1:7" x14ac:dyDescent="0.25">
      <c r="B45" s="78"/>
      <c r="G45" s="460" t="s">
        <v>497</v>
      </c>
    </row>
  </sheetData>
  <mergeCells count="1">
    <mergeCell ref="A1:G1"/>
  </mergeCells>
  <pageMargins left="0.70866141732283472" right="0.11811023622047245" top="0.74803149606299213" bottom="0.74803149606299213" header="0.31496062992125984" footer="0.31496062992125984"/>
  <pageSetup paperSize="9" scale="80" orientation="portrait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46"/>
  <sheetViews>
    <sheetView zoomScale="90" zoomScaleNormal="90" workbookViewId="0">
      <selection sqref="A1:J1"/>
    </sheetView>
  </sheetViews>
  <sheetFormatPr defaultRowHeight="15.75" x14ac:dyDescent="0.25"/>
  <cols>
    <col min="1" max="1" width="52.5703125" style="404" customWidth="1"/>
    <col min="2" max="2" width="16.7109375" style="404" bestFit="1" customWidth="1"/>
    <col min="3" max="3" width="16.140625" style="404" bestFit="1" customWidth="1"/>
    <col min="4" max="4" width="14.85546875" style="404" bestFit="1" customWidth="1"/>
    <col min="5" max="5" width="16.7109375" style="404" bestFit="1" customWidth="1"/>
    <col min="6" max="6" width="17.28515625" style="404" customWidth="1"/>
    <col min="7" max="7" width="14.85546875" style="404" bestFit="1" customWidth="1"/>
    <col min="8" max="8" width="16.7109375" style="404" bestFit="1" customWidth="1"/>
    <col min="9" max="9" width="17.5703125" style="404" customWidth="1"/>
    <col min="10" max="10" width="14.85546875" style="404" bestFit="1" customWidth="1"/>
    <col min="11" max="13" width="14.85546875" style="404" customWidth="1"/>
    <col min="14" max="16384" width="9.140625" style="404"/>
  </cols>
  <sheetData>
    <row r="1" spans="1:12" ht="45.75" customHeight="1" thickBot="1" x14ac:dyDescent="0.3">
      <c r="A1" s="1073" t="s">
        <v>556</v>
      </c>
      <c r="B1" s="1073"/>
      <c r="C1" s="1073"/>
      <c r="D1" s="1073"/>
      <c r="E1" s="1073"/>
      <c r="F1" s="1073"/>
      <c r="G1" s="1073"/>
      <c r="H1" s="1073"/>
      <c r="I1" s="1073"/>
      <c r="J1" s="1073"/>
      <c r="K1" s="412"/>
      <c r="L1" s="412"/>
    </row>
    <row r="2" spans="1:12" ht="21" thickBot="1" x14ac:dyDescent="0.3">
      <c r="A2" s="1074" t="s">
        <v>133</v>
      </c>
      <c r="B2" s="1067" t="s">
        <v>134</v>
      </c>
      <c r="C2" s="1068"/>
      <c r="D2" s="1069"/>
      <c r="E2" s="1070" t="s">
        <v>432</v>
      </c>
      <c r="F2" s="1071"/>
      <c r="G2" s="1072"/>
      <c r="H2" s="1070" t="s">
        <v>433</v>
      </c>
      <c r="I2" s="1071"/>
      <c r="J2" s="1072"/>
      <c r="K2" s="412"/>
      <c r="L2" s="412"/>
    </row>
    <row r="3" spans="1:12" s="405" customFormat="1" ht="45.75" thickBot="1" x14ac:dyDescent="0.3">
      <c r="A3" s="1075"/>
      <c r="B3" s="638" t="s">
        <v>135</v>
      </c>
      <c r="C3" s="639" t="s">
        <v>330</v>
      </c>
      <c r="D3" s="640" t="s">
        <v>331</v>
      </c>
      <c r="E3" s="638" t="s">
        <v>135</v>
      </c>
      <c r="F3" s="639" t="s">
        <v>330</v>
      </c>
      <c r="G3" s="640" t="s">
        <v>331</v>
      </c>
      <c r="H3" s="638" t="s">
        <v>135</v>
      </c>
      <c r="I3" s="639" t="s">
        <v>330</v>
      </c>
      <c r="J3" s="640" t="s">
        <v>331</v>
      </c>
    </row>
    <row r="4" spans="1:12" x14ac:dyDescent="0.25">
      <c r="A4" s="641" t="s">
        <v>136</v>
      </c>
      <c r="B4" s="615">
        <v>38211406.039999999</v>
      </c>
      <c r="C4" s="617">
        <v>2875637.33</v>
      </c>
      <c r="D4" s="642">
        <f t="shared" ref="D4:D40" si="0">B4+C4</f>
        <v>41087043.369999997</v>
      </c>
      <c r="E4" s="615">
        <v>31389607.739999998</v>
      </c>
      <c r="F4" s="617">
        <v>3303049.87</v>
      </c>
      <c r="G4" s="642">
        <f t="shared" ref="G4:G40" si="1">E4+F4</f>
        <v>34692657.609999999</v>
      </c>
      <c r="H4" s="615">
        <f>E4-B4</f>
        <v>-6821798.3000000007</v>
      </c>
      <c r="I4" s="617">
        <f>F4-C4</f>
        <v>427412.54000000004</v>
      </c>
      <c r="J4" s="642">
        <f>G4-D4</f>
        <v>-6394385.7599999979</v>
      </c>
    </row>
    <row r="5" spans="1:12" x14ac:dyDescent="0.25">
      <c r="A5" s="620" t="s">
        <v>137</v>
      </c>
      <c r="B5" s="621">
        <v>34163929.25</v>
      </c>
      <c r="C5" s="623">
        <v>1866982.22</v>
      </c>
      <c r="D5" s="643">
        <f t="shared" si="0"/>
        <v>36030911.469999999</v>
      </c>
      <c r="E5" s="615">
        <v>32881009.039999999</v>
      </c>
      <c r="F5" s="623">
        <v>2323328.33</v>
      </c>
      <c r="G5" s="643">
        <f t="shared" si="1"/>
        <v>35204337.369999997</v>
      </c>
      <c r="H5" s="615">
        <f t="shared" ref="H5:J40" si="2">E5-B5</f>
        <v>-1282920.2100000009</v>
      </c>
      <c r="I5" s="617">
        <f t="shared" si="2"/>
        <v>456346.1100000001</v>
      </c>
      <c r="J5" s="642">
        <f t="shared" si="2"/>
        <v>-826574.10000000149</v>
      </c>
    </row>
    <row r="6" spans="1:12" x14ac:dyDescent="0.25">
      <c r="A6" s="620" t="s">
        <v>615</v>
      </c>
      <c r="B6" s="621">
        <v>4242927.8099999996</v>
      </c>
      <c r="C6" s="623">
        <v>822194.7</v>
      </c>
      <c r="D6" s="643">
        <f t="shared" si="0"/>
        <v>5065122.51</v>
      </c>
      <c r="E6" s="615">
        <v>3849351.25</v>
      </c>
      <c r="F6" s="623">
        <v>688401.88</v>
      </c>
      <c r="G6" s="643">
        <f t="shared" si="1"/>
        <v>4537753.13</v>
      </c>
      <c r="H6" s="615">
        <f t="shared" si="2"/>
        <v>-393576.55999999959</v>
      </c>
      <c r="I6" s="617">
        <f t="shared" si="2"/>
        <v>-133792.81999999995</v>
      </c>
      <c r="J6" s="642">
        <f t="shared" si="2"/>
        <v>-527369.37999999989</v>
      </c>
    </row>
    <row r="7" spans="1:12" x14ac:dyDescent="0.25">
      <c r="A7" s="620" t="s">
        <v>138</v>
      </c>
      <c r="B7" s="621">
        <v>13656120.970000001</v>
      </c>
      <c r="C7" s="623">
        <v>1095249.72</v>
      </c>
      <c r="D7" s="643">
        <f t="shared" si="0"/>
        <v>14751370.690000001</v>
      </c>
      <c r="E7" s="615">
        <v>12732939.439999999</v>
      </c>
      <c r="F7" s="623">
        <v>1300809.3</v>
      </c>
      <c r="G7" s="643">
        <f t="shared" si="1"/>
        <v>14033748.74</v>
      </c>
      <c r="H7" s="615">
        <f t="shared" si="2"/>
        <v>-923181.53000000119</v>
      </c>
      <c r="I7" s="617">
        <f t="shared" si="2"/>
        <v>205559.58000000007</v>
      </c>
      <c r="J7" s="642">
        <f t="shared" si="2"/>
        <v>-717621.95000000112</v>
      </c>
    </row>
    <row r="8" spans="1:12" x14ac:dyDescent="0.25">
      <c r="A8" s="620" t="s">
        <v>139</v>
      </c>
      <c r="B8" s="621">
        <v>8054899.5800000001</v>
      </c>
      <c r="C8" s="623">
        <v>363914.15</v>
      </c>
      <c r="D8" s="643">
        <f t="shared" si="0"/>
        <v>8418813.7300000004</v>
      </c>
      <c r="E8" s="615">
        <v>7615755.3799999999</v>
      </c>
      <c r="F8" s="623">
        <v>305137.63</v>
      </c>
      <c r="G8" s="643">
        <f t="shared" si="1"/>
        <v>7920893.0099999998</v>
      </c>
      <c r="H8" s="615">
        <f t="shared" si="2"/>
        <v>-439144.20000000019</v>
      </c>
      <c r="I8" s="617">
        <f t="shared" si="2"/>
        <v>-58776.520000000019</v>
      </c>
      <c r="J8" s="642">
        <f t="shared" si="2"/>
        <v>-497920.72000000067</v>
      </c>
    </row>
    <row r="9" spans="1:12" x14ac:dyDescent="0.25">
      <c r="A9" s="620" t="s">
        <v>616</v>
      </c>
      <c r="B9" s="621">
        <v>523028.86</v>
      </c>
      <c r="C9" s="623">
        <v>161315.51999999999</v>
      </c>
      <c r="D9" s="643">
        <f t="shared" si="0"/>
        <v>684344.38</v>
      </c>
      <c r="E9" s="615">
        <v>476194.62</v>
      </c>
      <c r="F9" s="623">
        <v>158549.26999999999</v>
      </c>
      <c r="G9" s="643">
        <f t="shared" si="1"/>
        <v>634743.89</v>
      </c>
      <c r="H9" s="615">
        <f t="shared" si="2"/>
        <v>-46834.239999999991</v>
      </c>
      <c r="I9" s="617">
        <f t="shared" si="2"/>
        <v>-2766.25</v>
      </c>
      <c r="J9" s="642">
        <f t="shared" si="2"/>
        <v>-49600.489999999991</v>
      </c>
    </row>
    <row r="10" spans="1:12" x14ac:dyDescent="0.25">
      <c r="A10" s="620" t="s">
        <v>140</v>
      </c>
      <c r="B10" s="621">
        <v>37194752.460000001</v>
      </c>
      <c r="C10" s="623">
        <v>4026686.27</v>
      </c>
      <c r="D10" s="643">
        <f t="shared" si="0"/>
        <v>41221438.730000004</v>
      </c>
      <c r="E10" s="615">
        <v>40053950.259999998</v>
      </c>
      <c r="F10" s="623">
        <v>5524745.9699999997</v>
      </c>
      <c r="G10" s="643">
        <f t="shared" si="1"/>
        <v>45578696.229999997</v>
      </c>
      <c r="H10" s="615">
        <f t="shared" si="2"/>
        <v>2859197.799999997</v>
      </c>
      <c r="I10" s="617">
        <f t="shared" si="2"/>
        <v>1498059.6999999997</v>
      </c>
      <c r="J10" s="642">
        <f t="shared" si="2"/>
        <v>4357257.4999999925</v>
      </c>
    </row>
    <row r="11" spans="1:12" x14ac:dyDescent="0.25">
      <c r="A11" s="620" t="s">
        <v>141</v>
      </c>
      <c r="B11" s="621">
        <v>243274755.03999999</v>
      </c>
      <c r="C11" s="623">
        <v>8116174.6500000004</v>
      </c>
      <c r="D11" s="643">
        <f t="shared" si="0"/>
        <v>251390929.69</v>
      </c>
      <c r="E11" s="615">
        <v>244096124.71000001</v>
      </c>
      <c r="F11" s="623">
        <v>8472470.4800000004</v>
      </c>
      <c r="G11" s="643">
        <f t="shared" si="1"/>
        <v>252568595.19</v>
      </c>
      <c r="H11" s="615">
        <f t="shared" si="2"/>
        <v>821369.67000001669</v>
      </c>
      <c r="I11" s="617">
        <f t="shared" si="2"/>
        <v>356295.83000000007</v>
      </c>
      <c r="J11" s="642">
        <f t="shared" si="2"/>
        <v>1177665.5</v>
      </c>
    </row>
    <row r="12" spans="1:12" x14ac:dyDescent="0.25">
      <c r="A12" s="620" t="s">
        <v>332</v>
      </c>
      <c r="B12" s="621">
        <v>76754015.379999995</v>
      </c>
      <c r="C12" s="623">
        <v>1323105.42</v>
      </c>
      <c r="D12" s="643">
        <f t="shared" si="0"/>
        <v>78077120.799999997</v>
      </c>
      <c r="E12" s="615">
        <v>78030590.430000007</v>
      </c>
      <c r="F12" s="623">
        <v>1382034.7</v>
      </c>
      <c r="G12" s="643">
        <f t="shared" si="1"/>
        <v>79412625.13000001</v>
      </c>
      <c r="H12" s="615">
        <f t="shared" si="2"/>
        <v>1276575.0500000119</v>
      </c>
      <c r="I12" s="617">
        <f t="shared" si="2"/>
        <v>58929.280000000028</v>
      </c>
      <c r="J12" s="642">
        <f t="shared" si="2"/>
        <v>1335504.3300000131</v>
      </c>
    </row>
    <row r="13" spans="1:12" x14ac:dyDescent="0.25">
      <c r="A13" s="620" t="s">
        <v>142</v>
      </c>
      <c r="B13" s="621">
        <v>1372288</v>
      </c>
      <c r="C13" s="623">
        <v>27695.85</v>
      </c>
      <c r="D13" s="643">
        <f t="shared" si="0"/>
        <v>1399983.85</v>
      </c>
      <c r="E13" s="615">
        <v>1351294.44</v>
      </c>
      <c r="F13" s="623">
        <v>27366.12</v>
      </c>
      <c r="G13" s="643">
        <f t="shared" si="1"/>
        <v>1378660.56</v>
      </c>
      <c r="H13" s="615">
        <f t="shared" si="2"/>
        <v>-20993.560000000056</v>
      </c>
      <c r="I13" s="617">
        <f t="shared" si="2"/>
        <v>-329.72999999999956</v>
      </c>
      <c r="J13" s="642">
        <f t="shared" si="2"/>
        <v>-21323.290000000037</v>
      </c>
    </row>
    <row r="14" spans="1:12" x14ac:dyDescent="0.25">
      <c r="A14" s="620" t="s">
        <v>143</v>
      </c>
      <c r="B14" s="621">
        <v>10007994.43</v>
      </c>
      <c r="C14" s="623">
        <v>149000.10999999999</v>
      </c>
      <c r="D14" s="643">
        <f t="shared" si="0"/>
        <v>10156994.539999999</v>
      </c>
      <c r="E14" s="615">
        <v>9831102.9399999995</v>
      </c>
      <c r="F14" s="623">
        <v>131370.01</v>
      </c>
      <c r="G14" s="643">
        <f t="shared" si="1"/>
        <v>9962472.9499999993</v>
      </c>
      <c r="H14" s="615">
        <f t="shared" si="2"/>
        <v>-176891.49000000022</v>
      </c>
      <c r="I14" s="617">
        <f t="shared" si="2"/>
        <v>-17630.099999999977</v>
      </c>
      <c r="J14" s="642">
        <f t="shared" si="2"/>
        <v>-194521.58999999985</v>
      </c>
    </row>
    <row r="15" spans="1:12" x14ac:dyDescent="0.25">
      <c r="A15" s="620" t="s">
        <v>144</v>
      </c>
      <c r="B15" s="621">
        <v>16010.02</v>
      </c>
      <c r="C15" s="623">
        <v>5288.22</v>
      </c>
      <c r="D15" s="643">
        <f t="shared" si="0"/>
        <v>21298.240000000002</v>
      </c>
      <c r="E15" s="615">
        <v>16485.5</v>
      </c>
      <c r="F15" s="623">
        <v>7499.01</v>
      </c>
      <c r="G15" s="643">
        <f t="shared" si="1"/>
        <v>23984.510000000002</v>
      </c>
      <c r="H15" s="615">
        <f t="shared" si="2"/>
        <v>475.47999999999956</v>
      </c>
      <c r="I15" s="617">
        <f t="shared" si="2"/>
        <v>2210.79</v>
      </c>
      <c r="J15" s="642">
        <f t="shared" si="2"/>
        <v>2686.2700000000004</v>
      </c>
    </row>
    <row r="16" spans="1:12" x14ac:dyDescent="0.25">
      <c r="A16" s="620" t="s">
        <v>145</v>
      </c>
      <c r="B16" s="621">
        <v>574.61</v>
      </c>
      <c r="C16" s="623">
        <v>29531.61</v>
      </c>
      <c r="D16" s="643">
        <f t="shared" si="0"/>
        <v>30106.22</v>
      </c>
      <c r="E16" s="615">
        <v>315.42</v>
      </c>
      <c r="F16" s="623">
        <v>32033.54</v>
      </c>
      <c r="G16" s="643">
        <f t="shared" si="1"/>
        <v>32348.959999999999</v>
      </c>
      <c r="H16" s="615">
        <f t="shared" si="2"/>
        <v>-259.19</v>
      </c>
      <c r="I16" s="617">
        <f t="shared" si="2"/>
        <v>2501.9300000000003</v>
      </c>
      <c r="J16" s="642">
        <f t="shared" si="2"/>
        <v>2242.739999999998</v>
      </c>
    </row>
    <row r="17" spans="1:10" x14ac:dyDescent="0.25">
      <c r="A17" s="620" t="s">
        <v>146</v>
      </c>
      <c r="B17" s="621">
        <v>429146.4</v>
      </c>
      <c r="C17" s="623">
        <v>157730.15</v>
      </c>
      <c r="D17" s="643">
        <f t="shared" si="0"/>
        <v>586876.55000000005</v>
      </c>
      <c r="E17" s="615">
        <v>466649.94</v>
      </c>
      <c r="F17" s="623">
        <v>161253.71</v>
      </c>
      <c r="G17" s="643">
        <f t="shared" si="1"/>
        <v>627903.65</v>
      </c>
      <c r="H17" s="615">
        <f t="shared" si="2"/>
        <v>37503.539999999979</v>
      </c>
      <c r="I17" s="617">
        <f t="shared" si="2"/>
        <v>3523.5599999999977</v>
      </c>
      <c r="J17" s="642">
        <f t="shared" si="2"/>
        <v>41027.099999999977</v>
      </c>
    </row>
    <row r="18" spans="1:10" x14ac:dyDescent="0.25">
      <c r="A18" s="620" t="s">
        <v>147</v>
      </c>
      <c r="B18" s="621">
        <v>477637.62</v>
      </c>
      <c r="C18" s="623">
        <v>90298.12</v>
      </c>
      <c r="D18" s="643">
        <f t="shared" si="0"/>
        <v>567935.74</v>
      </c>
      <c r="E18" s="615">
        <v>481639.49</v>
      </c>
      <c r="F18" s="623">
        <v>74428.41</v>
      </c>
      <c r="G18" s="643">
        <f t="shared" si="1"/>
        <v>556067.9</v>
      </c>
      <c r="H18" s="615">
        <f t="shared" si="2"/>
        <v>4001.8699999999953</v>
      </c>
      <c r="I18" s="617">
        <f t="shared" si="2"/>
        <v>-15869.709999999992</v>
      </c>
      <c r="J18" s="642">
        <f t="shared" si="2"/>
        <v>-11867.839999999967</v>
      </c>
    </row>
    <row r="19" spans="1:10" x14ac:dyDescent="0.25">
      <c r="A19" s="620" t="s">
        <v>148</v>
      </c>
      <c r="B19" s="621">
        <v>58389.440000000002</v>
      </c>
      <c r="C19" s="623">
        <v>134.81</v>
      </c>
      <c r="D19" s="643">
        <f t="shared" si="0"/>
        <v>58524.25</v>
      </c>
      <c r="E19" s="615">
        <v>69334.11</v>
      </c>
      <c r="F19" s="623">
        <v>73.52</v>
      </c>
      <c r="G19" s="643">
        <f t="shared" si="1"/>
        <v>69407.63</v>
      </c>
      <c r="H19" s="615">
        <f t="shared" si="2"/>
        <v>10944.669999999998</v>
      </c>
      <c r="I19" s="617">
        <f t="shared" si="2"/>
        <v>-61.290000000000006</v>
      </c>
      <c r="J19" s="642">
        <f t="shared" si="2"/>
        <v>10883.380000000005</v>
      </c>
    </row>
    <row r="20" spans="1:10" x14ac:dyDescent="0.25">
      <c r="A20" s="620" t="s">
        <v>149</v>
      </c>
      <c r="B20" s="621">
        <v>29068.07</v>
      </c>
      <c r="C20" s="623">
        <v>18194.46</v>
      </c>
      <c r="D20" s="643">
        <f t="shared" si="0"/>
        <v>47262.53</v>
      </c>
      <c r="E20" s="615">
        <v>57245.8</v>
      </c>
      <c r="F20" s="623">
        <v>13576.52</v>
      </c>
      <c r="G20" s="643">
        <f t="shared" si="1"/>
        <v>70822.320000000007</v>
      </c>
      <c r="H20" s="615">
        <f t="shared" si="2"/>
        <v>28177.730000000003</v>
      </c>
      <c r="I20" s="617">
        <f t="shared" si="2"/>
        <v>-4617.9399999999987</v>
      </c>
      <c r="J20" s="642">
        <f t="shared" si="2"/>
        <v>23559.790000000008</v>
      </c>
    </row>
    <row r="21" spans="1:10" x14ac:dyDescent="0.25">
      <c r="A21" s="620" t="s">
        <v>150</v>
      </c>
      <c r="B21" s="621">
        <v>68382.009999999995</v>
      </c>
      <c r="C21" s="623">
        <v>53456.06</v>
      </c>
      <c r="D21" s="643">
        <f t="shared" si="0"/>
        <v>121838.06999999999</v>
      </c>
      <c r="E21" s="615">
        <v>40220.720000000001</v>
      </c>
      <c r="F21" s="623">
        <v>86663.12</v>
      </c>
      <c r="G21" s="643">
        <f t="shared" si="1"/>
        <v>126883.84</v>
      </c>
      <c r="H21" s="615">
        <f t="shared" si="2"/>
        <v>-28161.289999999994</v>
      </c>
      <c r="I21" s="617">
        <f t="shared" si="2"/>
        <v>33207.06</v>
      </c>
      <c r="J21" s="642">
        <f t="shared" si="2"/>
        <v>5045.7700000000041</v>
      </c>
    </row>
    <row r="22" spans="1:10" x14ac:dyDescent="0.25">
      <c r="A22" s="620" t="s">
        <v>151</v>
      </c>
      <c r="B22" s="621">
        <v>1858.12</v>
      </c>
      <c r="C22" s="623">
        <v>16441.13</v>
      </c>
      <c r="D22" s="643">
        <f t="shared" si="0"/>
        <v>18299.25</v>
      </c>
      <c r="E22" s="615">
        <v>906.12</v>
      </c>
      <c r="F22" s="623">
        <v>6275.97</v>
      </c>
      <c r="G22" s="643">
        <f t="shared" si="1"/>
        <v>7182.09</v>
      </c>
      <c r="H22" s="615">
        <f t="shared" si="2"/>
        <v>-951.99999999999989</v>
      </c>
      <c r="I22" s="617">
        <f t="shared" si="2"/>
        <v>-10165.16</v>
      </c>
      <c r="J22" s="642">
        <f t="shared" si="2"/>
        <v>-11117.16</v>
      </c>
    </row>
    <row r="23" spans="1:10" x14ac:dyDescent="0.25">
      <c r="A23" s="620" t="s">
        <v>152</v>
      </c>
      <c r="B23" s="621">
        <v>87193.75</v>
      </c>
      <c r="C23" s="623">
        <v>3386.42</v>
      </c>
      <c r="D23" s="643">
        <f t="shared" si="0"/>
        <v>90580.17</v>
      </c>
      <c r="E23" s="615">
        <v>47335.38</v>
      </c>
      <c r="F23" s="623">
        <v>7052.68</v>
      </c>
      <c r="G23" s="643">
        <f t="shared" si="1"/>
        <v>54388.06</v>
      </c>
      <c r="H23" s="615">
        <f t="shared" si="2"/>
        <v>-39858.370000000003</v>
      </c>
      <c r="I23" s="617">
        <f t="shared" si="2"/>
        <v>3666.26</v>
      </c>
      <c r="J23" s="642">
        <f t="shared" si="2"/>
        <v>-36192.11</v>
      </c>
    </row>
    <row r="24" spans="1:10" x14ac:dyDescent="0.25">
      <c r="A24" s="620" t="s">
        <v>153</v>
      </c>
      <c r="B24" s="621">
        <v>713.62</v>
      </c>
      <c r="C24" s="623">
        <v>3639.4</v>
      </c>
      <c r="D24" s="643">
        <f t="shared" si="0"/>
        <v>4353.0200000000004</v>
      </c>
      <c r="E24" s="615">
        <v>5941.76</v>
      </c>
      <c r="F24" s="623">
        <v>865.95</v>
      </c>
      <c r="G24" s="643">
        <f t="shared" si="1"/>
        <v>6807.71</v>
      </c>
      <c r="H24" s="615">
        <f t="shared" si="2"/>
        <v>5228.1400000000003</v>
      </c>
      <c r="I24" s="617">
        <f t="shared" si="2"/>
        <v>-2773.45</v>
      </c>
      <c r="J24" s="642">
        <f t="shared" si="2"/>
        <v>2454.6899999999996</v>
      </c>
    </row>
    <row r="25" spans="1:10" x14ac:dyDescent="0.25">
      <c r="A25" s="620" t="s">
        <v>154</v>
      </c>
      <c r="B25" s="621">
        <v>241088.87</v>
      </c>
      <c r="C25" s="623">
        <v>6120.2</v>
      </c>
      <c r="D25" s="643">
        <f t="shared" si="0"/>
        <v>247209.07</v>
      </c>
      <c r="E25" s="615">
        <v>205520.24</v>
      </c>
      <c r="F25" s="623">
        <v>6035.5</v>
      </c>
      <c r="G25" s="643">
        <f t="shared" si="1"/>
        <v>211555.74</v>
      </c>
      <c r="H25" s="615">
        <f t="shared" si="2"/>
        <v>-35568.630000000005</v>
      </c>
      <c r="I25" s="617">
        <f t="shared" si="2"/>
        <v>-84.699999999999818</v>
      </c>
      <c r="J25" s="642">
        <f t="shared" si="2"/>
        <v>-35653.330000000016</v>
      </c>
    </row>
    <row r="26" spans="1:10" x14ac:dyDescent="0.25">
      <c r="A26" s="620" t="s">
        <v>155</v>
      </c>
      <c r="B26" s="621">
        <v>177233.73</v>
      </c>
      <c r="C26" s="623">
        <v>46538.29</v>
      </c>
      <c r="D26" s="643">
        <f t="shared" si="0"/>
        <v>223772.02000000002</v>
      </c>
      <c r="E26" s="615">
        <v>160886.29</v>
      </c>
      <c r="F26" s="623">
        <v>6753.18</v>
      </c>
      <c r="G26" s="643">
        <f t="shared" si="1"/>
        <v>167639.47</v>
      </c>
      <c r="H26" s="615">
        <f t="shared" si="2"/>
        <v>-16347.440000000002</v>
      </c>
      <c r="I26" s="617">
        <f t="shared" si="2"/>
        <v>-39785.11</v>
      </c>
      <c r="J26" s="642">
        <f t="shared" si="2"/>
        <v>-56132.550000000017</v>
      </c>
    </row>
    <row r="27" spans="1:10" x14ac:dyDescent="0.25">
      <c r="A27" s="620" t="s">
        <v>156</v>
      </c>
      <c r="B27" s="621">
        <v>47808078.990000002</v>
      </c>
      <c r="C27" s="623">
        <v>514258.02</v>
      </c>
      <c r="D27" s="643">
        <f t="shared" si="0"/>
        <v>48322337.010000005</v>
      </c>
      <c r="E27" s="615">
        <v>48698005.310000002</v>
      </c>
      <c r="F27" s="623">
        <v>624241.18000000005</v>
      </c>
      <c r="G27" s="643">
        <f t="shared" si="1"/>
        <v>49322246.490000002</v>
      </c>
      <c r="H27" s="615">
        <f t="shared" si="2"/>
        <v>889926.3200000003</v>
      </c>
      <c r="I27" s="617">
        <f t="shared" si="2"/>
        <v>109983.16000000003</v>
      </c>
      <c r="J27" s="642">
        <f t="shared" si="2"/>
        <v>999909.47999999672</v>
      </c>
    </row>
    <row r="28" spans="1:10" ht="30" x14ac:dyDescent="0.25">
      <c r="A28" s="620" t="s">
        <v>333</v>
      </c>
      <c r="B28" s="621">
        <v>31903915.300000001</v>
      </c>
      <c r="C28" s="623">
        <v>817592.78</v>
      </c>
      <c r="D28" s="643">
        <f t="shared" si="0"/>
        <v>32721508.080000002</v>
      </c>
      <c r="E28" s="615">
        <v>46309128.289999999</v>
      </c>
      <c r="F28" s="623">
        <v>773372.69</v>
      </c>
      <c r="G28" s="643">
        <f t="shared" si="1"/>
        <v>47082500.979999997</v>
      </c>
      <c r="H28" s="615">
        <f t="shared" si="2"/>
        <v>14405212.989999998</v>
      </c>
      <c r="I28" s="617">
        <f t="shared" si="2"/>
        <v>-44220.090000000084</v>
      </c>
      <c r="J28" s="642">
        <f t="shared" si="2"/>
        <v>14360992.899999995</v>
      </c>
    </row>
    <row r="29" spans="1:10" ht="30" x14ac:dyDescent="0.25">
      <c r="A29" s="620" t="s">
        <v>334</v>
      </c>
      <c r="B29" s="621">
        <v>1499300.97</v>
      </c>
      <c r="C29" s="623">
        <v>0</v>
      </c>
      <c r="D29" s="643">
        <f t="shared" si="0"/>
        <v>1499300.97</v>
      </c>
      <c r="E29" s="615">
        <v>753559.11</v>
      </c>
      <c r="F29" s="623">
        <v>127.95</v>
      </c>
      <c r="G29" s="643">
        <f t="shared" si="1"/>
        <v>753687.05999999994</v>
      </c>
      <c r="H29" s="615">
        <f t="shared" si="2"/>
        <v>-745741.86</v>
      </c>
      <c r="I29" s="617">
        <f t="shared" si="2"/>
        <v>127.95</v>
      </c>
      <c r="J29" s="642">
        <f t="shared" si="2"/>
        <v>-745613.91</v>
      </c>
    </row>
    <row r="30" spans="1:10" x14ac:dyDescent="0.25">
      <c r="A30" s="620" t="s">
        <v>335</v>
      </c>
      <c r="B30" s="621">
        <v>0</v>
      </c>
      <c r="C30" s="623">
        <v>0</v>
      </c>
      <c r="D30" s="643">
        <f t="shared" si="0"/>
        <v>0</v>
      </c>
      <c r="E30" s="615">
        <v>6937.53</v>
      </c>
      <c r="F30" s="623">
        <v>0</v>
      </c>
      <c r="G30" s="643">
        <f t="shared" si="1"/>
        <v>6937.53</v>
      </c>
      <c r="H30" s="615">
        <f t="shared" si="2"/>
        <v>6937.53</v>
      </c>
      <c r="I30" s="617">
        <f t="shared" si="2"/>
        <v>0</v>
      </c>
      <c r="J30" s="642">
        <f t="shared" si="2"/>
        <v>6937.53</v>
      </c>
    </row>
    <row r="31" spans="1:10" x14ac:dyDescent="0.25">
      <c r="A31" s="620" t="s">
        <v>157</v>
      </c>
      <c r="B31" s="621">
        <v>33.159999999999997</v>
      </c>
      <c r="C31" s="623">
        <v>16081.07</v>
      </c>
      <c r="D31" s="643">
        <f t="shared" si="0"/>
        <v>16114.23</v>
      </c>
      <c r="E31" s="615">
        <v>0</v>
      </c>
      <c r="F31" s="623">
        <v>18466.97</v>
      </c>
      <c r="G31" s="643">
        <f t="shared" si="1"/>
        <v>18466.97</v>
      </c>
      <c r="H31" s="615">
        <f t="shared" si="2"/>
        <v>-33.159999999999997</v>
      </c>
      <c r="I31" s="617">
        <f t="shared" si="2"/>
        <v>2385.9000000000015</v>
      </c>
      <c r="J31" s="642">
        <f t="shared" si="2"/>
        <v>2352.7400000000016</v>
      </c>
    </row>
    <row r="32" spans="1:10" x14ac:dyDescent="0.25">
      <c r="A32" s="620" t="s">
        <v>336</v>
      </c>
      <c r="B32" s="621">
        <v>0</v>
      </c>
      <c r="C32" s="623">
        <v>0</v>
      </c>
      <c r="D32" s="643">
        <f t="shared" si="0"/>
        <v>0</v>
      </c>
      <c r="E32" s="615">
        <v>0</v>
      </c>
      <c r="F32" s="623">
        <v>0</v>
      </c>
      <c r="G32" s="643">
        <f t="shared" si="1"/>
        <v>0</v>
      </c>
      <c r="H32" s="615">
        <f t="shared" si="2"/>
        <v>0</v>
      </c>
      <c r="I32" s="617">
        <f t="shared" si="2"/>
        <v>0</v>
      </c>
      <c r="J32" s="642">
        <f t="shared" si="2"/>
        <v>0</v>
      </c>
    </row>
    <row r="33" spans="1:11" x14ac:dyDescent="0.25">
      <c r="A33" s="620" t="s">
        <v>158</v>
      </c>
      <c r="B33" s="621">
        <v>28193370.75</v>
      </c>
      <c r="C33" s="623">
        <v>13992.8</v>
      </c>
      <c r="D33" s="643">
        <f t="shared" si="0"/>
        <v>28207363.550000001</v>
      </c>
      <c r="E33" s="615">
        <v>29624594.440000001</v>
      </c>
      <c r="F33" s="623">
        <v>14944.19</v>
      </c>
      <c r="G33" s="643">
        <f t="shared" si="1"/>
        <v>29639538.630000003</v>
      </c>
      <c r="H33" s="615">
        <f t="shared" si="2"/>
        <v>1431223.6900000013</v>
      </c>
      <c r="I33" s="617">
        <f t="shared" si="2"/>
        <v>951.39000000000124</v>
      </c>
      <c r="J33" s="642">
        <f t="shared" si="2"/>
        <v>1432175.0800000019</v>
      </c>
    </row>
    <row r="34" spans="1:11" x14ac:dyDescent="0.25">
      <c r="A34" s="620" t="s">
        <v>159</v>
      </c>
      <c r="B34" s="621">
        <v>0</v>
      </c>
      <c r="C34" s="623">
        <v>0</v>
      </c>
      <c r="D34" s="643">
        <f t="shared" si="0"/>
        <v>0</v>
      </c>
      <c r="E34" s="615">
        <v>0</v>
      </c>
      <c r="F34" s="623">
        <v>0</v>
      </c>
      <c r="G34" s="643">
        <f t="shared" si="1"/>
        <v>0</v>
      </c>
      <c r="H34" s="615">
        <f t="shared" si="2"/>
        <v>0</v>
      </c>
      <c r="I34" s="617">
        <f t="shared" si="2"/>
        <v>0</v>
      </c>
      <c r="J34" s="642">
        <f t="shared" si="2"/>
        <v>0</v>
      </c>
    </row>
    <row r="35" spans="1:11" x14ac:dyDescent="0.25">
      <c r="A35" s="620" t="s">
        <v>338</v>
      </c>
      <c r="B35" s="621">
        <v>651804.79</v>
      </c>
      <c r="C35" s="623">
        <v>179117.73</v>
      </c>
      <c r="D35" s="643">
        <f t="shared" si="0"/>
        <v>830922.52</v>
      </c>
      <c r="E35" s="615">
        <v>536477.38</v>
      </c>
      <c r="F35" s="623">
        <v>46793.4</v>
      </c>
      <c r="G35" s="643">
        <f t="shared" si="1"/>
        <v>583270.78</v>
      </c>
      <c r="H35" s="615">
        <f t="shared" si="2"/>
        <v>-115327.41000000003</v>
      </c>
      <c r="I35" s="617">
        <f t="shared" si="2"/>
        <v>-132324.33000000002</v>
      </c>
      <c r="J35" s="642">
        <f t="shared" si="2"/>
        <v>-247651.74</v>
      </c>
    </row>
    <row r="36" spans="1:11" x14ac:dyDescent="0.25">
      <c r="A36" s="620" t="s">
        <v>339</v>
      </c>
      <c r="B36" s="621">
        <v>0</v>
      </c>
      <c r="C36" s="623">
        <v>0</v>
      </c>
      <c r="D36" s="643">
        <f t="shared" si="0"/>
        <v>0</v>
      </c>
      <c r="E36" s="615">
        <v>0</v>
      </c>
      <c r="F36" s="623">
        <v>0</v>
      </c>
      <c r="G36" s="643">
        <f t="shared" si="1"/>
        <v>0</v>
      </c>
      <c r="H36" s="615">
        <f t="shared" si="2"/>
        <v>0</v>
      </c>
      <c r="I36" s="617">
        <f t="shared" si="2"/>
        <v>0</v>
      </c>
      <c r="J36" s="642">
        <f t="shared" si="2"/>
        <v>0</v>
      </c>
    </row>
    <row r="37" spans="1:11" x14ac:dyDescent="0.25">
      <c r="A37" s="620" t="s">
        <v>160</v>
      </c>
      <c r="B37" s="621">
        <v>428713.96</v>
      </c>
      <c r="C37" s="623">
        <v>80</v>
      </c>
      <c r="D37" s="643">
        <f t="shared" si="0"/>
        <v>428793.96</v>
      </c>
      <c r="E37" s="615">
        <v>1071316.7</v>
      </c>
      <c r="F37" s="623">
        <v>575.97</v>
      </c>
      <c r="G37" s="643">
        <f t="shared" si="1"/>
        <v>1071892.67</v>
      </c>
      <c r="H37" s="615">
        <f t="shared" si="2"/>
        <v>642602.74</v>
      </c>
      <c r="I37" s="617">
        <f t="shared" si="2"/>
        <v>495.97</v>
      </c>
      <c r="J37" s="642">
        <f t="shared" si="2"/>
        <v>643098.71</v>
      </c>
    </row>
    <row r="38" spans="1:11" x14ac:dyDescent="0.25">
      <c r="A38" s="620" t="s">
        <v>161</v>
      </c>
      <c r="B38" s="621">
        <v>659534.75</v>
      </c>
      <c r="C38" s="623">
        <v>584.73</v>
      </c>
      <c r="D38" s="643">
        <f t="shared" si="0"/>
        <v>660119.48</v>
      </c>
      <c r="E38" s="615">
        <v>97306.1</v>
      </c>
      <c r="F38" s="623">
        <v>0</v>
      </c>
      <c r="G38" s="643">
        <f t="shared" si="1"/>
        <v>97306.1</v>
      </c>
      <c r="H38" s="615">
        <f t="shared" si="2"/>
        <v>-562228.65</v>
      </c>
      <c r="I38" s="617">
        <f t="shared" si="2"/>
        <v>-584.73</v>
      </c>
      <c r="J38" s="642">
        <f t="shared" si="2"/>
        <v>-562813.38</v>
      </c>
    </row>
    <row r="39" spans="1:11" x14ac:dyDescent="0.25">
      <c r="A39" s="620" t="s">
        <v>343</v>
      </c>
      <c r="B39" s="621">
        <v>2075.39</v>
      </c>
      <c r="C39" s="623">
        <v>0</v>
      </c>
      <c r="D39" s="643">
        <f t="shared" si="0"/>
        <v>2075.39</v>
      </c>
      <c r="E39" s="615">
        <v>0</v>
      </c>
      <c r="F39" s="629">
        <v>0</v>
      </c>
      <c r="G39" s="643">
        <f t="shared" si="1"/>
        <v>0</v>
      </c>
      <c r="H39" s="615">
        <f t="shared" si="2"/>
        <v>-2075.39</v>
      </c>
      <c r="I39" s="617">
        <f t="shared" si="2"/>
        <v>0</v>
      </c>
      <c r="J39" s="642">
        <f t="shared" si="2"/>
        <v>-2075.39</v>
      </c>
    </row>
    <row r="40" spans="1:11" ht="16.5" thickBot="1" x14ac:dyDescent="0.3">
      <c r="A40" s="626" t="s">
        <v>341</v>
      </c>
      <c r="B40" s="627">
        <v>0</v>
      </c>
      <c r="C40" s="629">
        <v>0</v>
      </c>
      <c r="D40" s="645">
        <f t="shared" si="0"/>
        <v>0</v>
      </c>
      <c r="E40" s="692">
        <v>0</v>
      </c>
      <c r="F40" s="629">
        <v>23422746.739999998</v>
      </c>
      <c r="G40" s="645">
        <f t="shared" si="1"/>
        <v>23422746.739999998</v>
      </c>
      <c r="H40" s="692">
        <f t="shared" si="2"/>
        <v>0</v>
      </c>
      <c r="I40" s="693">
        <f t="shared" si="2"/>
        <v>23422746.739999998</v>
      </c>
      <c r="J40" s="694">
        <f t="shared" si="2"/>
        <v>23422746.739999998</v>
      </c>
    </row>
    <row r="41" spans="1:11" ht="16.5" thickBot="1" x14ac:dyDescent="0.3">
      <c r="A41" s="687" t="s">
        <v>18</v>
      </c>
      <c r="B41" s="632">
        <f>SUM(B4:B40)</f>
        <v>580190242.13999999</v>
      </c>
      <c r="C41" s="695">
        <f>SUM(C4:C40)</f>
        <v>22800421.940000001</v>
      </c>
      <c r="D41" s="696">
        <f t="shared" ref="D41:J41" si="3">SUM(D4:D40)</f>
        <v>602990664.08000016</v>
      </c>
      <c r="E41" s="632">
        <f t="shared" si="3"/>
        <v>590957725.88000023</v>
      </c>
      <c r="F41" s="695">
        <f t="shared" si="3"/>
        <v>48921043.759999998</v>
      </c>
      <c r="G41" s="696">
        <f t="shared" si="3"/>
        <v>639878769.63999975</v>
      </c>
      <c r="H41" s="632">
        <f t="shared" si="3"/>
        <v>10767483.740000023</v>
      </c>
      <c r="I41" s="695">
        <f t="shared" si="3"/>
        <v>26120621.82</v>
      </c>
      <c r="J41" s="696">
        <f t="shared" si="3"/>
        <v>36888105.559999995</v>
      </c>
    </row>
    <row r="42" spans="1:11" x14ac:dyDescent="0.25">
      <c r="A42" s="641" t="s">
        <v>342</v>
      </c>
      <c r="B42" s="621">
        <v>7812903.9700000286</v>
      </c>
      <c r="C42" s="617">
        <v>4086321.11</v>
      </c>
      <c r="D42" s="643">
        <v>11899225.080000028</v>
      </c>
      <c r="E42" s="615">
        <v>9429750.9700000007</v>
      </c>
      <c r="F42" s="617">
        <v>3736835.96</v>
      </c>
      <c r="G42" s="697">
        <f>C42+E42</f>
        <v>13516072.08</v>
      </c>
      <c r="H42" s="621">
        <f t="shared" ref="H42:J44" si="4">E42-B42</f>
        <v>1616846.9999999721</v>
      </c>
      <c r="I42" s="621">
        <f t="shared" si="4"/>
        <v>-349485.14999999991</v>
      </c>
      <c r="J42" s="642">
        <f t="shared" si="4"/>
        <v>1616846.9999999721</v>
      </c>
      <c r="K42" s="413"/>
    </row>
    <row r="43" spans="1:11" x14ac:dyDescent="0.25">
      <c r="A43" s="620" t="s">
        <v>326</v>
      </c>
      <c r="B43" s="621">
        <v>231468.83</v>
      </c>
      <c r="C43" s="623">
        <v>567845.94999999995</v>
      </c>
      <c r="D43" s="643">
        <v>799314.77999999991</v>
      </c>
      <c r="E43" s="615">
        <v>-119367.22</v>
      </c>
      <c r="F43" s="623">
        <v>657291.87</v>
      </c>
      <c r="G43" s="697">
        <f>C43+E43</f>
        <v>448478.73</v>
      </c>
      <c r="H43" s="621">
        <f t="shared" si="4"/>
        <v>-350836.05</v>
      </c>
      <c r="I43" s="621">
        <f t="shared" si="4"/>
        <v>89445.920000000042</v>
      </c>
      <c r="J43" s="642">
        <f t="shared" si="4"/>
        <v>-350836.04999999993</v>
      </c>
      <c r="K43" s="413"/>
    </row>
    <row r="44" spans="1:11" ht="16.5" thickBot="1" x14ac:dyDescent="0.3">
      <c r="A44" s="626" t="s">
        <v>327</v>
      </c>
      <c r="B44" s="627">
        <v>0</v>
      </c>
      <c r="C44" s="629">
        <v>0</v>
      </c>
      <c r="D44" s="645">
        <v>0</v>
      </c>
      <c r="E44" s="692">
        <v>0</v>
      </c>
      <c r="F44" s="629">
        <v>0</v>
      </c>
      <c r="G44" s="698">
        <f>C44+E44</f>
        <v>0</v>
      </c>
      <c r="H44" s="627">
        <f t="shared" si="4"/>
        <v>0</v>
      </c>
      <c r="I44" s="627">
        <f t="shared" si="4"/>
        <v>0</v>
      </c>
      <c r="J44" s="694">
        <f t="shared" si="4"/>
        <v>0</v>
      </c>
      <c r="K44" s="413"/>
    </row>
    <row r="45" spans="1:11" ht="16.5" thickBot="1" x14ac:dyDescent="0.3">
      <c r="A45" s="687" t="s">
        <v>328</v>
      </c>
      <c r="B45" s="699">
        <f t="shared" ref="B45:J45" si="5">B42-B43-B44</f>
        <v>7581435.1400000285</v>
      </c>
      <c r="C45" s="700">
        <f t="shared" si="5"/>
        <v>3518475.16</v>
      </c>
      <c r="D45" s="701">
        <f t="shared" si="5"/>
        <v>11099910.300000029</v>
      </c>
      <c r="E45" s="650">
        <f t="shared" si="5"/>
        <v>9549118.1900000013</v>
      </c>
      <c r="F45" s="653">
        <f t="shared" si="5"/>
        <v>3079544.09</v>
      </c>
      <c r="G45" s="654">
        <f t="shared" si="5"/>
        <v>13067593.35</v>
      </c>
      <c r="H45" s="650">
        <f t="shared" si="5"/>
        <v>1967683.0499999721</v>
      </c>
      <c r="I45" s="653">
        <f t="shared" si="5"/>
        <v>-438931.06999999995</v>
      </c>
      <c r="J45" s="654">
        <f t="shared" si="5"/>
        <v>1967683.0499999719</v>
      </c>
      <c r="K45" s="413"/>
    </row>
    <row r="46" spans="1:11" x14ac:dyDescent="0.25">
      <c r="E46" s="414"/>
      <c r="H46" s="406"/>
      <c r="J46" s="460" t="s">
        <v>497</v>
      </c>
    </row>
  </sheetData>
  <mergeCells count="5">
    <mergeCell ref="A1:J1"/>
    <mergeCell ref="B2:D2"/>
    <mergeCell ref="E2:G2"/>
    <mergeCell ref="H2:J2"/>
    <mergeCell ref="A2:A3"/>
  </mergeCells>
  <pageMargins left="0.70866141732283472" right="0.11811023622047245" top="0.74803149606299213" bottom="0.15748031496062992" header="0.31496062992125984" footer="0.31496062992125984"/>
  <pageSetup paperSize="9" scale="65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35"/>
  <sheetViews>
    <sheetView zoomScaleNormal="100" workbookViewId="0">
      <selection sqref="A1:L1"/>
    </sheetView>
  </sheetViews>
  <sheetFormatPr defaultRowHeight="15.75" x14ac:dyDescent="0.25"/>
  <cols>
    <col min="1" max="1" width="15.140625" style="417" customWidth="1"/>
    <col min="2" max="2" width="15" style="76" customWidth="1"/>
    <col min="3" max="3" width="14.140625" style="76" customWidth="1"/>
    <col min="4" max="4" width="13" style="76" customWidth="1"/>
    <col min="5" max="5" width="13" style="77" customWidth="1"/>
    <col min="6" max="7" width="13.85546875" style="78" customWidth="1"/>
    <col min="8" max="8" width="14.5703125" style="78" customWidth="1"/>
    <col min="9" max="9" width="14.7109375" style="78" customWidth="1"/>
    <col min="10" max="10" width="14.42578125" style="78" customWidth="1"/>
    <col min="11" max="11" width="14.7109375" style="78" customWidth="1"/>
    <col min="12" max="12" width="14.140625" style="78" customWidth="1"/>
    <col min="13" max="16384" width="9.140625" style="78"/>
  </cols>
  <sheetData>
    <row r="1" spans="1:12" ht="42.75" customHeight="1" thickBot="1" x14ac:dyDescent="0.3">
      <c r="A1" s="1035" t="s">
        <v>557</v>
      </c>
      <c r="B1" s="1035"/>
      <c r="C1" s="1035"/>
      <c r="D1" s="1035"/>
      <c r="E1" s="1035"/>
      <c r="F1" s="1035"/>
      <c r="G1" s="1035"/>
      <c r="H1" s="1035"/>
      <c r="I1" s="1035"/>
      <c r="J1" s="1035"/>
      <c r="K1" s="1035"/>
      <c r="L1" s="1035"/>
    </row>
    <row r="2" spans="1:12" ht="39.75" customHeight="1" thickBot="1" x14ac:dyDescent="0.3">
      <c r="B2" s="702"/>
      <c r="C2" s="702"/>
      <c r="D2" s="702"/>
      <c r="E2" s="702"/>
      <c r="F2" s="702"/>
      <c r="G2" s="702"/>
      <c r="H2" s="702"/>
      <c r="I2" s="702"/>
      <c r="J2" s="1076" t="s">
        <v>434</v>
      </c>
      <c r="K2" s="1077"/>
      <c r="L2" s="1078"/>
    </row>
    <row r="3" spans="1:12" s="415" customFormat="1" ht="112.5" customHeight="1" thickBot="1" x14ac:dyDescent="0.3">
      <c r="A3" s="492" t="s">
        <v>47</v>
      </c>
      <c r="B3" s="493" t="s">
        <v>344</v>
      </c>
      <c r="C3" s="494" t="s">
        <v>345</v>
      </c>
      <c r="D3" s="494" t="s">
        <v>346</v>
      </c>
      <c r="E3" s="494" t="s">
        <v>347</v>
      </c>
      <c r="F3" s="494" t="s">
        <v>348</v>
      </c>
      <c r="G3" s="494" t="s">
        <v>349</v>
      </c>
      <c r="H3" s="494" t="s">
        <v>350</v>
      </c>
      <c r="I3" s="703" t="s">
        <v>435</v>
      </c>
      <c r="J3" s="492" t="s">
        <v>536</v>
      </c>
      <c r="K3" s="492" t="s">
        <v>351</v>
      </c>
      <c r="L3" s="836" t="s">
        <v>436</v>
      </c>
    </row>
    <row r="4" spans="1:12" x14ac:dyDescent="0.25">
      <c r="A4" s="496" t="s">
        <v>25</v>
      </c>
      <c r="B4" s="704">
        <v>134570505.28999999</v>
      </c>
      <c r="C4" s="705">
        <f>130871131.12+551.82</f>
        <v>130871682.94</v>
      </c>
      <c r="D4" s="705">
        <f>B4-C4</f>
        <v>3698822.349999994</v>
      </c>
      <c r="E4" s="705">
        <v>3668584.32</v>
      </c>
      <c r="F4" s="705">
        <f>2787701.09+61778.72</f>
        <v>2849479.81</v>
      </c>
      <c r="G4" s="705">
        <f>E4-F4</f>
        <v>819104.50999999978</v>
      </c>
      <c r="H4" s="705">
        <f>B4+E4</f>
        <v>138239089.60999998</v>
      </c>
      <c r="I4" s="706">
        <f>C4+F4</f>
        <v>133721162.75</v>
      </c>
      <c r="J4" s="707">
        <f>D4+G4</f>
        <v>4517926.8599999938</v>
      </c>
      <c r="K4" s="707">
        <v>6438627.5800000001</v>
      </c>
      <c r="L4" s="837">
        <f>J4+K4</f>
        <v>10956554.439999994</v>
      </c>
    </row>
    <row r="5" spans="1:12" x14ac:dyDescent="0.25">
      <c r="A5" s="496" t="s">
        <v>33</v>
      </c>
      <c r="B5" s="704">
        <v>35982183.259999998</v>
      </c>
      <c r="C5" s="705">
        <f>35646915.2+11222.55</f>
        <v>35658137.75</v>
      </c>
      <c r="D5" s="705">
        <f t="shared" ref="D5:D23" si="0">B5-C5</f>
        <v>324045.50999999791</v>
      </c>
      <c r="E5" s="705">
        <v>1155399.7</v>
      </c>
      <c r="F5" s="705">
        <f>1075465.22+32206.27</f>
        <v>1107671.49</v>
      </c>
      <c r="G5" s="705">
        <f t="shared" ref="G5:G23" si="1">E5-F5</f>
        <v>47728.209999999963</v>
      </c>
      <c r="H5" s="705">
        <f t="shared" ref="H5:J23" si="2">B5+E5</f>
        <v>37137582.960000001</v>
      </c>
      <c r="I5" s="706">
        <f t="shared" si="2"/>
        <v>36765809.240000002</v>
      </c>
      <c r="J5" s="707">
        <f t="shared" si="2"/>
        <v>371773.71999999788</v>
      </c>
      <c r="K5" s="707">
        <v>0</v>
      </c>
      <c r="L5" s="837">
        <f t="shared" ref="L5:L23" si="3">J5+K5</f>
        <v>371773.71999999788</v>
      </c>
    </row>
    <row r="6" spans="1:12" x14ac:dyDescent="0.25">
      <c r="A6" s="496" t="s">
        <v>31</v>
      </c>
      <c r="B6" s="704">
        <v>28663610.690000001</v>
      </c>
      <c r="C6" s="705">
        <f>28662959.01</f>
        <v>28662959.010000002</v>
      </c>
      <c r="D6" s="705">
        <f t="shared" si="0"/>
        <v>651.67999999970198</v>
      </c>
      <c r="E6" s="705">
        <v>553955.01</v>
      </c>
      <c r="F6" s="705">
        <f>553146.16+162.16</f>
        <v>553308.32000000007</v>
      </c>
      <c r="G6" s="705">
        <f t="shared" si="1"/>
        <v>646.68999999994412</v>
      </c>
      <c r="H6" s="705">
        <f t="shared" si="2"/>
        <v>29217565.700000003</v>
      </c>
      <c r="I6" s="706">
        <f t="shared" si="2"/>
        <v>29216267.330000002</v>
      </c>
      <c r="J6" s="707">
        <f t="shared" si="2"/>
        <v>1298.3699999996461</v>
      </c>
      <c r="K6" s="707">
        <v>77690.990000000005</v>
      </c>
      <c r="L6" s="837">
        <f t="shared" si="3"/>
        <v>78989.359999999651</v>
      </c>
    </row>
    <row r="7" spans="1:12" x14ac:dyDescent="0.25">
      <c r="A7" s="496" t="s">
        <v>36</v>
      </c>
      <c r="B7" s="704">
        <v>10436388.130000001</v>
      </c>
      <c r="C7" s="705">
        <f>10425590.52+5.76</f>
        <v>10425596.279999999</v>
      </c>
      <c r="D7" s="705">
        <f t="shared" si="0"/>
        <v>10791.85000000149</v>
      </c>
      <c r="E7" s="705">
        <v>67661.259999999995</v>
      </c>
      <c r="F7" s="705">
        <f>47023.34+3958.76</f>
        <v>50982.1</v>
      </c>
      <c r="G7" s="705">
        <f t="shared" si="1"/>
        <v>16679.159999999996</v>
      </c>
      <c r="H7" s="705">
        <f t="shared" si="2"/>
        <v>10504049.390000001</v>
      </c>
      <c r="I7" s="706">
        <f t="shared" si="2"/>
        <v>10476578.379999999</v>
      </c>
      <c r="J7" s="707">
        <f t="shared" si="2"/>
        <v>27471.010000001486</v>
      </c>
      <c r="K7" s="707">
        <v>1208015.4099999999</v>
      </c>
      <c r="L7" s="837">
        <f t="shared" si="3"/>
        <v>1235486.4200000013</v>
      </c>
    </row>
    <row r="8" spans="1:12" x14ac:dyDescent="0.25">
      <c r="A8" s="496" t="s">
        <v>111</v>
      </c>
      <c r="B8" s="704">
        <v>13676242.800000001</v>
      </c>
      <c r="C8" s="705">
        <f>13727974.97</f>
        <v>13727974.970000001</v>
      </c>
      <c r="D8" s="705">
        <f t="shared" si="0"/>
        <v>-51732.169999999925</v>
      </c>
      <c r="E8" s="705">
        <v>464944.26</v>
      </c>
      <c r="F8" s="705">
        <f>411918.76</f>
        <v>411918.76</v>
      </c>
      <c r="G8" s="705">
        <f t="shared" si="1"/>
        <v>53025.5</v>
      </c>
      <c r="H8" s="705">
        <f t="shared" si="2"/>
        <v>14141187.060000001</v>
      </c>
      <c r="I8" s="706">
        <f t="shared" si="2"/>
        <v>14139893.73</v>
      </c>
      <c r="J8" s="707">
        <f t="shared" si="2"/>
        <v>1293.3300000000745</v>
      </c>
      <c r="K8" s="707">
        <v>-1537924.36</v>
      </c>
      <c r="L8" s="837">
        <f t="shared" si="3"/>
        <v>-1536631.03</v>
      </c>
    </row>
    <row r="9" spans="1:12" x14ac:dyDescent="0.25">
      <c r="A9" s="496" t="s">
        <v>30</v>
      </c>
      <c r="B9" s="704">
        <v>25865654.140000001</v>
      </c>
      <c r="C9" s="705">
        <f>25490463.71+8909.24</f>
        <v>25499372.949999999</v>
      </c>
      <c r="D9" s="705">
        <f t="shared" si="0"/>
        <v>366281.19000000134</v>
      </c>
      <c r="E9" s="705">
        <v>370780.37</v>
      </c>
      <c r="F9" s="705">
        <f>362038.43+2174.58</f>
        <v>364213.01</v>
      </c>
      <c r="G9" s="705">
        <f t="shared" si="1"/>
        <v>6567.359999999986</v>
      </c>
      <c r="H9" s="705">
        <f t="shared" si="2"/>
        <v>26236434.510000002</v>
      </c>
      <c r="I9" s="706">
        <f t="shared" si="2"/>
        <v>25863585.960000001</v>
      </c>
      <c r="J9" s="707">
        <f t="shared" si="2"/>
        <v>372848.55000000133</v>
      </c>
      <c r="K9" s="707">
        <v>0</v>
      </c>
      <c r="L9" s="837">
        <f t="shared" si="3"/>
        <v>372848.55000000133</v>
      </c>
    </row>
    <row r="10" spans="1:12" ht="30.75" customHeight="1" x14ac:dyDescent="0.25">
      <c r="A10" s="496" t="s">
        <v>172</v>
      </c>
      <c r="B10" s="704">
        <v>28136433.109999999</v>
      </c>
      <c r="C10" s="705">
        <f>27230951.75+536.46</f>
        <v>27231488.210000001</v>
      </c>
      <c r="D10" s="705">
        <f t="shared" si="0"/>
        <v>904944.89999999851</v>
      </c>
      <c r="E10" s="705">
        <v>558928.91</v>
      </c>
      <c r="F10" s="705">
        <f>448768.74+21587.88</f>
        <v>470356.62</v>
      </c>
      <c r="G10" s="705">
        <f t="shared" si="1"/>
        <v>88572.290000000037</v>
      </c>
      <c r="H10" s="705">
        <f t="shared" si="2"/>
        <v>28695362.02</v>
      </c>
      <c r="I10" s="706">
        <f t="shared" si="2"/>
        <v>27701844.830000002</v>
      </c>
      <c r="J10" s="707">
        <f t="shared" si="2"/>
        <v>993517.18999999855</v>
      </c>
      <c r="K10" s="707">
        <v>-732898.54</v>
      </c>
      <c r="L10" s="837">
        <f t="shared" si="3"/>
        <v>260618.64999999851</v>
      </c>
    </row>
    <row r="11" spans="1:12" x14ac:dyDescent="0.25">
      <c r="A11" s="496" t="s">
        <v>34</v>
      </c>
      <c r="B11" s="704">
        <v>15383744.720000001</v>
      </c>
      <c r="C11" s="705">
        <f>14789419.07+2.54</f>
        <v>14789421.609999999</v>
      </c>
      <c r="D11" s="705">
        <f t="shared" si="0"/>
        <v>594323.11000000127</v>
      </c>
      <c r="E11" s="705">
        <v>165355.82</v>
      </c>
      <c r="F11" s="705">
        <f>139117.17+4985.34</f>
        <v>144102.51</v>
      </c>
      <c r="G11" s="705">
        <f t="shared" si="1"/>
        <v>21253.309999999998</v>
      </c>
      <c r="H11" s="705">
        <f t="shared" si="2"/>
        <v>15549100.540000001</v>
      </c>
      <c r="I11" s="706">
        <f t="shared" si="2"/>
        <v>14933524.119999999</v>
      </c>
      <c r="J11" s="707">
        <f t="shared" si="2"/>
        <v>615576.42000000132</v>
      </c>
      <c r="K11" s="707">
        <v>1604144.44</v>
      </c>
      <c r="L11" s="837">
        <f t="shared" si="3"/>
        <v>2219720.8600000013</v>
      </c>
    </row>
    <row r="12" spans="1:12" x14ac:dyDescent="0.25">
      <c r="A12" s="496" t="s">
        <v>26</v>
      </c>
      <c r="B12" s="704">
        <v>82978200.219999999</v>
      </c>
      <c r="C12" s="705">
        <f>83980107.48-198968.2</f>
        <v>83781139.280000001</v>
      </c>
      <c r="D12" s="705">
        <f t="shared" si="0"/>
        <v>-802939.06000000238</v>
      </c>
      <c r="E12" s="705">
        <v>6384173.5499999998</v>
      </c>
      <c r="F12" s="705">
        <f>4942642.18+239686.81</f>
        <v>5182328.9899999993</v>
      </c>
      <c r="G12" s="705">
        <f t="shared" si="1"/>
        <v>1201844.5600000005</v>
      </c>
      <c r="H12" s="705">
        <f t="shared" si="2"/>
        <v>89362373.769999996</v>
      </c>
      <c r="I12" s="706">
        <f t="shared" si="2"/>
        <v>88963468.269999996</v>
      </c>
      <c r="J12" s="707">
        <f t="shared" si="2"/>
        <v>398905.49999999814</v>
      </c>
      <c r="K12" s="707">
        <v>0</v>
      </c>
      <c r="L12" s="837">
        <f t="shared" si="3"/>
        <v>398905.49999999814</v>
      </c>
    </row>
    <row r="13" spans="1:12" x14ac:dyDescent="0.25">
      <c r="A13" s="496" t="s">
        <v>27</v>
      </c>
      <c r="B13" s="704">
        <v>58753004.82</v>
      </c>
      <c r="C13" s="705">
        <f>57437330.99+910.94</f>
        <v>57438241.93</v>
      </c>
      <c r="D13" s="705">
        <f t="shared" si="0"/>
        <v>1314762.8900000006</v>
      </c>
      <c r="E13" s="705">
        <v>3929657.47</v>
      </c>
      <c r="F13" s="705">
        <f>3425073.14+102503.72</f>
        <v>3527576.8600000003</v>
      </c>
      <c r="G13" s="705">
        <f t="shared" si="1"/>
        <v>402080.60999999987</v>
      </c>
      <c r="H13" s="705">
        <f t="shared" si="2"/>
        <v>62682662.289999999</v>
      </c>
      <c r="I13" s="706">
        <f t="shared" si="2"/>
        <v>60965818.789999999</v>
      </c>
      <c r="J13" s="707">
        <f t="shared" si="2"/>
        <v>1716843.5000000005</v>
      </c>
      <c r="K13" s="707">
        <v>0.05</v>
      </c>
      <c r="L13" s="837">
        <f>J13+K13</f>
        <v>1716843.5500000005</v>
      </c>
    </row>
    <row r="14" spans="1:12" x14ac:dyDescent="0.25">
      <c r="A14" s="496" t="s">
        <v>49</v>
      </c>
      <c r="B14" s="704">
        <v>42271814.310000002</v>
      </c>
      <c r="C14" s="705">
        <f>40820786.79+20323.22</f>
        <v>40841110.009999998</v>
      </c>
      <c r="D14" s="705">
        <f t="shared" si="0"/>
        <v>1430704.3000000045</v>
      </c>
      <c r="E14" s="705">
        <v>6630318.0199999996</v>
      </c>
      <c r="F14" s="705">
        <f>6615875.28+62128.16</f>
        <v>6678003.4400000004</v>
      </c>
      <c r="G14" s="705">
        <f t="shared" si="1"/>
        <v>-47685.420000000857</v>
      </c>
      <c r="H14" s="705">
        <f t="shared" si="2"/>
        <v>48902132.329999998</v>
      </c>
      <c r="I14" s="706">
        <f t="shared" si="2"/>
        <v>47519113.449999996</v>
      </c>
      <c r="J14" s="707">
        <f t="shared" si="2"/>
        <v>1383018.8800000036</v>
      </c>
      <c r="K14" s="707">
        <v>7058881.6600000001</v>
      </c>
      <c r="L14" s="837">
        <f t="shared" si="3"/>
        <v>8441900.5400000028</v>
      </c>
    </row>
    <row r="15" spans="1:12" x14ac:dyDescent="0.25">
      <c r="A15" s="496" t="s">
        <v>386</v>
      </c>
      <c r="B15" s="704">
        <v>10615089.300000001</v>
      </c>
      <c r="C15" s="705">
        <f>10609507.82+206.97</f>
        <v>10609714.790000001</v>
      </c>
      <c r="D15" s="705">
        <f t="shared" si="0"/>
        <v>5374.5099999997765</v>
      </c>
      <c r="E15" s="705">
        <v>122878.13</v>
      </c>
      <c r="F15" s="705">
        <f>121692.35+1127.93</f>
        <v>122820.28</v>
      </c>
      <c r="G15" s="705">
        <f t="shared" si="1"/>
        <v>57.850000000005821</v>
      </c>
      <c r="H15" s="705">
        <f t="shared" si="2"/>
        <v>10737967.430000002</v>
      </c>
      <c r="I15" s="706">
        <f t="shared" si="2"/>
        <v>10732535.07</v>
      </c>
      <c r="J15" s="707">
        <f t="shared" si="2"/>
        <v>5432.3599999997823</v>
      </c>
      <c r="K15" s="707">
        <v>-2551774.2799999998</v>
      </c>
      <c r="L15" s="837">
        <f t="shared" si="3"/>
        <v>-2546341.92</v>
      </c>
    </row>
    <row r="16" spans="1:12" x14ac:dyDescent="0.25">
      <c r="A16" s="496" t="s">
        <v>29</v>
      </c>
      <c r="B16" s="704">
        <v>28511335.91</v>
      </c>
      <c r="C16" s="705">
        <f>28190559.4+13923.39</f>
        <v>28204482.789999999</v>
      </c>
      <c r="D16" s="705">
        <f t="shared" si="0"/>
        <v>306853.12000000104</v>
      </c>
      <c r="E16" s="705">
        <v>875870.45</v>
      </c>
      <c r="F16" s="705">
        <v>872589.32</v>
      </c>
      <c r="G16" s="705">
        <f t="shared" si="1"/>
        <v>3281.1300000000047</v>
      </c>
      <c r="H16" s="705">
        <f t="shared" si="2"/>
        <v>29387206.359999999</v>
      </c>
      <c r="I16" s="706">
        <f t="shared" si="2"/>
        <v>29077072.109999999</v>
      </c>
      <c r="J16" s="707">
        <f t="shared" si="2"/>
        <v>310134.25000000105</v>
      </c>
      <c r="K16" s="707">
        <v>-1682770.14</v>
      </c>
      <c r="L16" s="837">
        <f t="shared" si="3"/>
        <v>-1372635.8899999987</v>
      </c>
    </row>
    <row r="17" spans="1:12" x14ac:dyDescent="0.25">
      <c r="A17" s="496" t="s">
        <v>32</v>
      </c>
      <c r="B17" s="704">
        <v>28798751.920000002</v>
      </c>
      <c r="C17" s="705">
        <f>28706827.56+22747.23</f>
        <v>28729574.789999999</v>
      </c>
      <c r="D17" s="705">
        <f t="shared" si="0"/>
        <v>69177.130000002682</v>
      </c>
      <c r="E17" s="705">
        <v>499820.78</v>
      </c>
      <c r="F17" s="705">
        <f>446710.87+11195.32</f>
        <v>457906.19</v>
      </c>
      <c r="G17" s="705">
        <f t="shared" si="1"/>
        <v>41914.590000000026</v>
      </c>
      <c r="H17" s="705">
        <f t="shared" si="2"/>
        <v>29298572.700000003</v>
      </c>
      <c r="I17" s="706">
        <f t="shared" si="2"/>
        <v>29187480.98</v>
      </c>
      <c r="J17" s="707">
        <f t="shared" si="2"/>
        <v>111091.72000000271</v>
      </c>
      <c r="K17" s="707">
        <v>-957868.54</v>
      </c>
      <c r="L17" s="837">
        <f t="shared" si="3"/>
        <v>-846776.81999999727</v>
      </c>
    </row>
    <row r="18" spans="1:12" x14ac:dyDescent="0.25">
      <c r="A18" s="496" t="s">
        <v>38</v>
      </c>
      <c r="B18" s="704">
        <v>16371779.26</v>
      </c>
      <c r="C18" s="705">
        <f>16361258.52+43.71</f>
        <v>16361302.23</v>
      </c>
      <c r="D18" s="705">
        <f t="shared" si="0"/>
        <v>10477.029999999329</v>
      </c>
      <c r="E18" s="705">
        <v>3118034.2</v>
      </c>
      <c r="F18" s="705">
        <f>2866846.99+57984.55</f>
        <v>2924831.54</v>
      </c>
      <c r="G18" s="705">
        <f t="shared" si="1"/>
        <v>193202.66000000015</v>
      </c>
      <c r="H18" s="705">
        <f t="shared" si="2"/>
        <v>19489813.460000001</v>
      </c>
      <c r="I18" s="706">
        <f t="shared" si="2"/>
        <v>19286133.77</v>
      </c>
      <c r="J18" s="707">
        <f t="shared" si="2"/>
        <v>203679.68999999948</v>
      </c>
      <c r="K18" s="707">
        <v>150881.85999999999</v>
      </c>
      <c r="L18" s="837">
        <f t="shared" si="3"/>
        <v>354561.54999999946</v>
      </c>
    </row>
    <row r="19" spans="1:12" ht="28.5" customHeight="1" x14ac:dyDescent="0.25">
      <c r="A19" s="496" t="s">
        <v>43</v>
      </c>
      <c r="B19" s="704">
        <v>6546543.2199999997</v>
      </c>
      <c r="C19" s="705">
        <f>6457127+156.57</f>
        <v>6457283.5700000003</v>
      </c>
      <c r="D19" s="705">
        <f t="shared" si="0"/>
        <v>89259.649999999441</v>
      </c>
      <c r="E19" s="705">
        <v>251943.65</v>
      </c>
      <c r="F19" s="705">
        <f>176618.27+14314.9</f>
        <v>190933.16999999998</v>
      </c>
      <c r="G19" s="705">
        <f t="shared" si="1"/>
        <v>61010.48000000001</v>
      </c>
      <c r="H19" s="705">
        <f t="shared" si="2"/>
        <v>6798486.8700000001</v>
      </c>
      <c r="I19" s="706">
        <f t="shared" si="2"/>
        <v>6648216.7400000002</v>
      </c>
      <c r="J19" s="707">
        <f t="shared" si="2"/>
        <v>150270.12999999945</v>
      </c>
      <c r="K19" s="707">
        <v>0</v>
      </c>
      <c r="L19" s="837">
        <f t="shared" si="3"/>
        <v>150270.12999999945</v>
      </c>
    </row>
    <row r="20" spans="1:12" ht="32.25" customHeight="1" x14ac:dyDescent="0.25">
      <c r="A20" s="496" t="s">
        <v>45</v>
      </c>
      <c r="B20" s="704">
        <v>4878402.82</v>
      </c>
      <c r="C20" s="705">
        <f>4874167.59+11.4</f>
        <v>4874178.99</v>
      </c>
      <c r="D20" s="705">
        <f t="shared" si="0"/>
        <v>4223.8300000000745</v>
      </c>
      <c r="E20" s="705">
        <v>72018.94</v>
      </c>
      <c r="F20" s="705">
        <f>28370.87+5144.4</f>
        <v>33515.269999999997</v>
      </c>
      <c r="G20" s="705">
        <f t="shared" si="1"/>
        <v>38503.670000000006</v>
      </c>
      <c r="H20" s="705">
        <f t="shared" si="2"/>
        <v>4950421.7600000007</v>
      </c>
      <c r="I20" s="706">
        <f t="shared" si="2"/>
        <v>4907694.26</v>
      </c>
      <c r="J20" s="707">
        <f t="shared" si="2"/>
        <v>42727.50000000008</v>
      </c>
      <c r="K20" s="707">
        <v>0</v>
      </c>
      <c r="L20" s="837">
        <f t="shared" si="3"/>
        <v>42727.50000000008</v>
      </c>
    </row>
    <row r="21" spans="1:12" ht="33.75" customHeight="1" x14ac:dyDescent="0.25">
      <c r="A21" s="496" t="s">
        <v>173</v>
      </c>
      <c r="B21" s="704">
        <v>4049314.62</v>
      </c>
      <c r="C21" s="705">
        <f>4271147.35+5.6</f>
        <v>4271152.9499999993</v>
      </c>
      <c r="D21" s="705">
        <f t="shared" si="0"/>
        <v>-221838.32999999914</v>
      </c>
      <c r="E21" s="705">
        <v>218393.73</v>
      </c>
      <c r="F21" s="705">
        <f>81309.57+26391.65</f>
        <v>107701.22</v>
      </c>
      <c r="G21" s="705">
        <f t="shared" si="1"/>
        <v>110692.51000000001</v>
      </c>
      <c r="H21" s="705">
        <f t="shared" si="2"/>
        <v>4267708.3500000006</v>
      </c>
      <c r="I21" s="706">
        <f t="shared" si="2"/>
        <v>4378854.169999999</v>
      </c>
      <c r="J21" s="707">
        <f t="shared" si="2"/>
        <v>-111145.81999999913</v>
      </c>
      <c r="K21" s="707">
        <v>-791123.55</v>
      </c>
      <c r="L21" s="837">
        <f t="shared" si="3"/>
        <v>-902269.36999999918</v>
      </c>
    </row>
    <row r="22" spans="1:12" ht="30" customHeight="1" x14ac:dyDescent="0.25">
      <c r="A22" s="496" t="s">
        <v>35</v>
      </c>
      <c r="B22" s="704">
        <v>18565540.829999998</v>
      </c>
      <c r="C22" s="705">
        <f>17802293.76+43.58</f>
        <v>17802337.34</v>
      </c>
      <c r="D22" s="705">
        <f t="shared" si="0"/>
        <v>763203.48999999836</v>
      </c>
      <c r="E22" s="705">
        <v>68421.08</v>
      </c>
      <c r="F22" s="705">
        <f>50246.82+7519.06</f>
        <v>57765.88</v>
      </c>
      <c r="G22" s="705">
        <f t="shared" si="1"/>
        <v>10655.200000000004</v>
      </c>
      <c r="H22" s="705">
        <f t="shared" si="2"/>
        <v>18633961.909999996</v>
      </c>
      <c r="I22" s="706">
        <f t="shared" si="2"/>
        <v>17860103.219999999</v>
      </c>
      <c r="J22" s="707">
        <f t="shared" si="2"/>
        <v>773858.68999999831</v>
      </c>
      <c r="K22" s="707">
        <v>2098120.5299999998</v>
      </c>
      <c r="L22" s="837">
        <f t="shared" si="3"/>
        <v>2871979.2199999979</v>
      </c>
    </row>
    <row r="23" spans="1:12" ht="16.5" thickBot="1" x14ac:dyDescent="0.3">
      <c r="A23" s="496" t="s">
        <v>42</v>
      </c>
      <c r="B23" s="704">
        <v>5332937.4800000004</v>
      </c>
      <c r="C23" s="705">
        <f>4601206.27</f>
        <v>4601206.2699999996</v>
      </c>
      <c r="D23" s="705">
        <f t="shared" si="0"/>
        <v>731731.21000000089</v>
      </c>
      <c r="E23" s="705">
        <v>57993.33</v>
      </c>
      <c r="F23" s="705">
        <f>45142.45+2441.66</f>
        <v>47584.11</v>
      </c>
      <c r="G23" s="705">
        <f t="shared" si="1"/>
        <v>10409.220000000001</v>
      </c>
      <c r="H23" s="705">
        <f t="shared" si="2"/>
        <v>5390930.8100000005</v>
      </c>
      <c r="I23" s="706">
        <f t="shared" si="2"/>
        <v>4648790.38</v>
      </c>
      <c r="J23" s="707">
        <f t="shared" si="2"/>
        <v>742140.43000000087</v>
      </c>
      <c r="K23" s="707">
        <v>377038.79</v>
      </c>
      <c r="L23" s="837">
        <f t="shared" si="3"/>
        <v>1119179.2200000009</v>
      </c>
    </row>
    <row r="24" spans="1:12" s="416" customFormat="1" ht="16.5" thickBot="1" x14ac:dyDescent="0.3">
      <c r="A24" s="505" t="s">
        <v>18</v>
      </c>
      <c r="B24" s="675">
        <f t="shared" ref="B24:J24" si="4">SUM(B4:B23)</f>
        <v>600387476.85000014</v>
      </c>
      <c r="C24" s="708">
        <f t="shared" si="4"/>
        <v>590838358.66000021</v>
      </c>
      <c r="D24" s="708">
        <f t="shared" si="4"/>
        <v>9549118.1899999995</v>
      </c>
      <c r="E24" s="708">
        <f t="shared" si="4"/>
        <v>29235132.979999993</v>
      </c>
      <c r="F24" s="708">
        <f t="shared" si="4"/>
        <v>26155588.890000001</v>
      </c>
      <c r="G24" s="709">
        <f t="shared" si="4"/>
        <v>3079544.0899999994</v>
      </c>
      <c r="H24" s="709">
        <f t="shared" si="4"/>
        <v>629622609.82999992</v>
      </c>
      <c r="I24" s="710">
        <f t="shared" si="4"/>
        <v>616993947.54999995</v>
      </c>
      <c r="J24" s="711">
        <f t="shared" si="4"/>
        <v>12628662.280000001</v>
      </c>
      <c r="K24" s="588">
        <f>SUM(K4:K23)</f>
        <v>10759041.899999999</v>
      </c>
      <c r="L24" s="838">
        <f>SUM(L4:L23)</f>
        <v>23387704.179999996</v>
      </c>
    </row>
    <row r="25" spans="1:12" x14ac:dyDescent="0.25">
      <c r="F25" s="76"/>
      <c r="L25" s="460" t="s">
        <v>497</v>
      </c>
    </row>
    <row r="26" spans="1:12" x14ac:dyDescent="0.25">
      <c r="F26" s="76"/>
    </row>
    <row r="27" spans="1:12" x14ac:dyDescent="0.25">
      <c r="F27" s="76"/>
    </row>
    <row r="28" spans="1:12" x14ac:dyDescent="0.25">
      <c r="F28" s="76"/>
    </row>
    <row r="35" spans="2:3" x14ac:dyDescent="0.25">
      <c r="B35" s="402"/>
      <c r="C35" s="402"/>
    </row>
  </sheetData>
  <mergeCells count="2">
    <mergeCell ref="J2:L2"/>
    <mergeCell ref="A1:L1"/>
  </mergeCells>
  <conditionalFormatting sqref="J4:J23 G4:G23 D4:D23">
    <cfRule type="cellIs" dxfId="1" priority="1" stopIfTrue="1" operator="greaterThanOrEqual">
      <formula>0</formula>
    </cfRule>
    <cfRule type="cellIs" dxfId="0" priority="2" stopIfTrue="1" operator="lessThan">
      <formula>0</formula>
    </cfRule>
  </conditionalFormatting>
  <printOptions horizontalCentered="1"/>
  <pageMargins left="0.70866141732283472" right="0.11811023622047245" top="0.74803149606299213" bottom="0.35433070866141736" header="0.31496062992125984" footer="0.31496062992125984"/>
  <pageSetup paperSize="9" scale="80" orientation="landscape" r:id="rId1"/>
  <headerFooter>
    <oddFooter xml:space="preserve">&amp;C&amp;P&amp;R 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W42"/>
  <sheetViews>
    <sheetView workbookViewId="0">
      <selection sqref="A1:B1"/>
    </sheetView>
  </sheetViews>
  <sheetFormatPr defaultRowHeight="15" x14ac:dyDescent="0.25"/>
  <cols>
    <col min="1" max="1" width="33.85546875" style="79" bestFit="1" customWidth="1"/>
    <col min="2" max="2" width="11.28515625" style="79" bestFit="1" customWidth="1"/>
    <col min="3" max="3" width="0.85546875" style="79" customWidth="1"/>
    <col min="4" max="4" width="11.28515625" style="79" bestFit="1" customWidth="1"/>
    <col min="5" max="6" width="10.140625" style="79" bestFit="1" customWidth="1"/>
    <col min="7" max="7" width="8.5703125" style="79" bestFit="1" customWidth="1"/>
    <col min="8" max="8" width="10.140625" style="79" bestFit="1" customWidth="1"/>
    <col min="9" max="9" width="10.140625" style="79" customWidth="1"/>
    <col min="10" max="11" width="8.5703125" style="79" bestFit="1" customWidth="1"/>
    <col min="12" max="14" width="10.140625" style="79" bestFit="1" customWidth="1"/>
    <col min="15" max="15" width="8.5703125" style="79" bestFit="1" customWidth="1"/>
    <col min="16" max="18" width="10.140625" style="79" bestFit="1" customWidth="1"/>
    <col min="19" max="19" width="8.140625" style="79" customWidth="1"/>
    <col min="20" max="20" width="8.42578125" style="79" customWidth="1"/>
    <col min="21" max="21" width="8.28515625" style="79" bestFit="1" customWidth="1"/>
    <col min="22" max="22" width="8.5703125" style="79" bestFit="1" customWidth="1"/>
    <col min="23" max="23" width="8.5703125" style="79" customWidth="1"/>
    <col min="24" max="16384" width="9.140625" style="79"/>
  </cols>
  <sheetData>
    <row r="1" spans="1:23" ht="62.25" customHeight="1" thickBot="1" x14ac:dyDescent="0.3">
      <c r="A1" s="1079" t="s">
        <v>542</v>
      </c>
      <c r="B1" s="1080"/>
      <c r="C1" s="418"/>
      <c r="D1" s="735" t="s">
        <v>437</v>
      </c>
      <c r="E1" s="736" t="s">
        <v>438</v>
      </c>
      <c r="F1" s="736" t="s">
        <v>439</v>
      </c>
      <c r="G1" s="736" t="s">
        <v>440</v>
      </c>
      <c r="H1" s="736" t="s">
        <v>548</v>
      </c>
      <c r="I1" s="736" t="s">
        <v>441</v>
      </c>
      <c r="J1" s="736" t="s">
        <v>442</v>
      </c>
      <c r="K1" s="736" t="s">
        <v>443</v>
      </c>
      <c r="L1" s="736" t="s">
        <v>444</v>
      </c>
      <c r="M1" s="736" t="s">
        <v>445</v>
      </c>
      <c r="N1" s="736" t="s">
        <v>446</v>
      </c>
      <c r="O1" s="736" t="s">
        <v>447</v>
      </c>
      <c r="P1" s="736" t="s">
        <v>448</v>
      </c>
      <c r="Q1" s="736" t="s">
        <v>449</v>
      </c>
      <c r="R1" s="736" t="s">
        <v>450</v>
      </c>
      <c r="S1" s="736" t="s">
        <v>451</v>
      </c>
      <c r="T1" s="736" t="s">
        <v>452</v>
      </c>
      <c r="U1" s="736" t="s">
        <v>453</v>
      </c>
      <c r="V1" s="736" t="s">
        <v>454</v>
      </c>
      <c r="W1" s="737" t="s">
        <v>455</v>
      </c>
    </row>
    <row r="2" spans="1:23" ht="57" customHeight="1" thickBot="1" x14ac:dyDescent="0.3">
      <c r="A2" s="739" t="s">
        <v>133</v>
      </c>
      <c r="B2" s="712" t="s">
        <v>135</v>
      </c>
      <c r="C2" s="713"/>
      <c r="D2" s="714" t="s">
        <v>135</v>
      </c>
      <c r="E2" s="715" t="s">
        <v>135</v>
      </c>
      <c r="F2" s="715" t="s">
        <v>135</v>
      </c>
      <c r="G2" s="715" t="s">
        <v>135</v>
      </c>
      <c r="H2" s="715" t="s">
        <v>135</v>
      </c>
      <c r="I2" s="715" t="s">
        <v>135</v>
      </c>
      <c r="J2" s="715" t="s">
        <v>135</v>
      </c>
      <c r="K2" s="715" t="s">
        <v>135</v>
      </c>
      <c r="L2" s="715" t="s">
        <v>135</v>
      </c>
      <c r="M2" s="715" t="s">
        <v>135</v>
      </c>
      <c r="N2" s="715" t="s">
        <v>135</v>
      </c>
      <c r="O2" s="715" t="s">
        <v>135</v>
      </c>
      <c r="P2" s="715" t="s">
        <v>135</v>
      </c>
      <c r="Q2" s="715" t="s">
        <v>135</v>
      </c>
      <c r="R2" s="715" t="s">
        <v>135</v>
      </c>
      <c r="S2" s="715" t="s">
        <v>135</v>
      </c>
      <c r="T2" s="715" t="s">
        <v>135</v>
      </c>
      <c r="U2" s="715" t="s">
        <v>135</v>
      </c>
      <c r="V2" s="715" t="s">
        <v>135</v>
      </c>
      <c r="W2" s="716" t="s">
        <v>135</v>
      </c>
    </row>
    <row r="3" spans="1:23" x14ac:dyDescent="0.25">
      <c r="A3" s="741" t="s">
        <v>456</v>
      </c>
      <c r="B3" s="738">
        <f>SUM(D3:W3)</f>
        <v>4767189.3000000017</v>
      </c>
      <c r="C3" s="718"/>
      <c r="D3" s="719">
        <v>804620.96</v>
      </c>
      <c r="E3" s="720">
        <v>166296.9</v>
      </c>
      <c r="F3" s="721">
        <v>69116.539999999994</v>
      </c>
      <c r="G3" s="720">
        <v>13456.99</v>
      </c>
      <c r="H3" s="721">
        <v>17905.189999999999</v>
      </c>
      <c r="I3" s="721">
        <v>153595.29</v>
      </c>
      <c r="J3" s="721">
        <v>26443.78</v>
      </c>
      <c r="K3" s="721">
        <v>63820.49</v>
      </c>
      <c r="L3" s="721">
        <v>680141.31</v>
      </c>
      <c r="M3" s="721">
        <v>1224549.32</v>
      </c>
      <c r="N3" s="720">
        <v>861892.98</v>
      </c>
      <c r="O3" s="721">
        <v>4493.47</v>
      </c>
      <c r="P3" s="721">
        <v>236367.37</v>
      </c>
      <c r="Q3" s="721">
        <v>58533.15</v>
      </c>
      <c r="R3" s="721">
        <v>305831.77</v>
      </c>
      <c r="S3" s="721">
        <v>1025</v>
      </c>
      <c r="T3" s="721">
        <v>20.170000000000002</v>
      </c>
      <c r="U3" s="721">
        <v>1373.67</v>
      </c>
      <c r="V3" s="721">
        <v>48822.2</v>
      </c>
      <c r="W3" s="722">
        <v>28882.75</v>
      </c>
    </row>
    <row r="4" spans="1:23" x14ac:dyDescent="0.25">
      <c r="A4" s="742" t="s">
        <v>457</v>
      </c>
      <c r="B4" s="738">
        <f t="shared" ref="B4:B40" si="0">SUM(D4:W4)</f>
        <v>11996948.720000001</v>
      </c>
      <c r="C4" s="718"/>
      <c r="D4" s="723">
        <v>2605487.1</v>
      </c>
      <c r="E4" s="724">
        <v>419633.25</v>
      </c>
      <c r="F4" s="725">
        <v>580180.22</v>
      </c>
      <c r="G4" s="724">
        <v>18647.14</v>
      </c>
      <c r="H4" s="725">
        <v>286727.53999999998</v>
      </c>
      <c r="I4" s="725">
        <v>248809.17</v>
      </c>
      <c r="J4" s="725">
        <v>246329.91</v>
      </c>
      <c r="K4" s="725">
        <v>0</v>
      </c>
      <c r="L4" s="725">
        <v>2429914.2000000002</v>
      </c>
      <c r="M4" s="725">
        <v>1614286.7</v>
      </c>
      <c r="N4" s="724">
        <v>1035221.09</v>
      </c>
      <c r="O4" s="725">
        <v>5368.96</v>
      </c>
      <c r="P4" s="725">
        <v>1116752.28</v>
      </c>
      <c r="Q4" s="725">
        <v>524995</v>
      </c>
      <c r="R4" s="725">
        <v>543861.25</v>
      </c>
      <c r="S4" s="725"/>
      <c r="T4" s="725"/>
      <c r="U4" s="725">
        <v>15874.1</v>
      </c>
      <c r="V4" s="725">
        <v>147989.07999999999</v>
      </c>
      <c r="W4" s="726">
        <v>156871.73000000001</v>
      </c>
    </row>
    <row r="5" spans="1:23" x14ac:dyDescent="0.25">
      <c r="A5" s="742" t="s">
        <v>617</v>
      </c>
      <c r="B5" s="738">
        <f t="shared" si="0"/>
        <v>682585.7</v>
      </c>
      <c r="C5" s="718"/>
      <c r="D5" s="723"/>
      <c r="E5" s="724"/>
      <c r="F5" s="725">
        <v>0</v>
      </c>
      <c r="G5" s="724"/>
      <c r="H5" s="725"/>
      <c r="I5" s="725">
        <v>0</v>
      </c>
      <c r="J5" s="725">
        <v>0</v>
      </c>
      <c r="K5" s="725">
        <v>0</v>
      </c>
      <c r="L5" s="725">
        <v>39559.81</v>
      </c>
      <c r="M5" s="725">
        <v>399855.95</v>
      </c>
      <c r="N5" s="724"/>
      <c r="O5" s="725">
        <v>0</v>
      </c>
      <c r="P5" s="725">
        <v>243169.94</v>
      </c>
      <c r="Q5" s="725"/>
      <c r="R5" s="725"/>
      <c r="S5" s="725"/>
      <c r="T5" s="725"/>
      <c r="U5" s="725"/>
      <c r="V5" s="725"/>
      <c r="W5" s="726"/>
    </row>
    <row r="6" spans="1:23" x14ac:dyDescent="0.25">
      <c r="A6" s="742" t="s">
        <v>618</v>
      </c>
      <c r="B6" s="738">
        <f t="shared" si="0"/>
        <v>3572114.9899999998</v>
      </c>
      <c r="C6" s="718"/>
      <c r="D6" s="723">
        <v>853898.37</v>
      </c>
      <c r="E6" s="724">
        <v>27368.19</v>
      </c>
      <c r="F6" s="725">
        <v>62595.79</v>
      </c>
      <c r="G6" s="724"/>
      <c r="H6" s="725">
        <v>130882.26</v>
      </c>
      <c r="I6" s="725">
        <v>119874.62</v>
      </c>
      <c r="J6" s="725">
        <v>4295.1000000000004</v>
      </c>
      <c r="K6" s="725">
        <v>0</v>
      </c>
      <c r="L6" s="725">
        <v>1769315.46</v>
      </c>
      <c r="M6" s="725">
        <v>188010.04</v>
      </c>
      <c r="N6" s="724">
        <v>150213.65</v>
      </c>
      <c r="O6" s="725">
        <v>916.8</v>
      </c>
      <c r="P6" s="725">
        <v>51952.15</v>
      </c>
      <c r="Q6" s="725">
        <v>71170.02</v>
      </c>
      <c r="R6" s="725">
        <v>38848.82</v>
      </c>
      <c r="S6" s="725"/>
      <c r="T6" s="725"/>
      <c r="U6" s="725"/>
      <c r="V6" s="725">
        <v>10286.06</v>
      </c>
      <c r="W6" s="726">
        <v>92487.66</v>
      </c>
    </row>
    <row r="7" spans="1:23" x14ac:dyDescent="0.25">
      <c r="A7" s="742" t="s">
        <v>458</v>
      </c>
      <c r="B7" s="738">
        <f t="shared" si="0"/>
        <v>15860.849999999999</v>
      </c>
      <c r="C7" s="718"/>
      <c r="D7" s="723">
        <v>-457.85</v>
      </c>
      <c r="E7" s="724">
        <v>666.37</v>
      </c>
      <c r="F7" s="725">
        <v>2804.81</v>
      </c>
      <c r="G7" s="724"/>
      <c r="H7" s="725">
        <v>24</v>
      </c>
      <c r="I7" s="725">
        <v>69.95</v>
      </c>
      <c r="J7" s="725">
        <v>382.82</v>
      </c>
      <c r="K7" s="725">
        <v>18.45</v>
      </c>
      <c r="L7" s="725">
        <v>2181.2800000000002</v>
      </c>
      <c r="M7" s="725">
        <v>5804.51</v>
      </c>
      <c r="N7" s="724">
        <v>3767.92</v>
      </c>
      <c r="O7" s="725">
        <v>85.74</v>
      </c>
      <c r="P7" s="725">
        <v>30.4</v>
      </c>
      <c r="Q7" s="725"/>
      <c r="R7" s="725">
        <v>342.72</v>
      </c>
      <c r="S7" s="725"/>
      <c r="T7" s="725"/>
      <c r="U7" s="725"/>
      <c r="V7" s="725">
        <v>4.08</v>
      </c>
      <c r="W7" s="726">
        <v>135.65</v>
      </c>
    </row>
    <row r="8" spans="1:23" x14ac:dyDescent="0.25">
      <c r="A8" s="742" t="s">
        <v>619</v>
      </c>
      <c r="B8" s="738">
        <f t="shared" si="0"/>
        <v>9665.1300000000028</v>
      </c>
      <c r="C8" s="718"/>
      <c r="D8" s="723">
        <v>344.77</v>
      </c>
      <c r="E8" s="724">
        <v>715.2</v>
      </c>
      <c r="F8" s="725">
        <v>115.99</v>
      </c>
      <c r="G8" s="724">
        <v>1100</v>
      </c>
      <c r="H8" s="725">
        <v>89.97</v>
      </c>
      <c r="I8" s="725">
        <v>0</v>
      </c>
      <c r="J8" s="725">
        <v>0</v>
      </c>
      <c r="K8" s="725">
        <v>0</v>
      </c>
      <c r="L8" s="725">
        <v>2569.71</v>
      </c>
      <c r="M8" s="725">
        <v>3764.59</v>
      </c>
      <c r="N8" s="724">
        <v>270.37</v>
      </c>
      <c r="O8" s="725">
        <v>215.37</v>
      </c>
      <c r="P8" s="725">
        <v>0</v>
      </c>
      <c r="Q8" s="725"/>
      <c r="R8" s="725"/>
      <c r="S8" s="725">
        <v>62</v>
      </c>
      <c r="T8" s="725">
        <v>52.37</v>
      </c>
      <c r="U8" s="725"/>
      <c r="V8" s="725"/>
      <c r="W8" s="726">
        <v>364.79</v>
      </c>
    </row>
    <row r="9" spans="1:23" x14ac:dyDescent="0.25">
      <c r="A9" s="742" t="s">
        <v>620</v>
      </c>
      <c r="B9" s="738">
        <f t="shared" si="0"/>
        <v>6946718.2699999986</v>
      </c>
      <c r="C9" s="718"/>
      <c r="D9" s="723">
        <v>4177860.8</v>
      </c>
      <c r="E9" s="724">
        <v>93191.32</v>
      </c>
      <c r="F9" s="725">
        <v>148629.03</v>
      </c>
      <c r="G9" s="724">
        <v>22960.14</v>
      </c>
      <c r="H9" s="725">
        <v>133524.70000000001</v>
      </c>
      <c r="I9" s="725">
        <v>76813.53</v>
      </c>
      <c r="J9" s="725">
        <v>71304.600000000006</v>
      </c>
      <c r="K9" s="725">
        <v>39469.56</v>
      </c>
      <c r="L9" s="725">
        <v>729644.5</v>
      </c>
      <c r="M9" s="725">
        <v>232150.22</v>
      </c>
      <c r="N9" s="724">
        <v>291090.65999999997</v>
      </c>
      <c r="O9" s="725">
        <v>44867.68</v>
      </c>
      <c r="P9" s="725">
        <v>612479.09</v>
      </c>
      <c r="Q9" s="725">
        <v>70072.86</v>
      </c>
      <c r="R9" s="725">
        <v>101372.04</v>
      </c>
      <c r="S9" s="725">
        <v>219</v>
      </c>
      <c r="T9" s="725">
        <v>1870</v>
      </c>
      <c r="U9" s="725">
        <v>466.72</v>
      </c>
      <c r="V9" s="725">
        <v>36516.85</v>
      </c>
      <c r="W9" s="726">
        <v>62214.97</v>
      </c>
    </row>
    <row r="10" spans="1:23" x14ac:dyDescent="0.25">
      <c r="A10" s="742" t="s">
        <v>459</v>
      </c>
      <c r="B10" s="738">
        <f t="shared" si="0"/>
        <v>10091614.49</v>
      </c>
      <c r="C10" s="718"/>
      <c r="D10" s="723">
        <v>2278678.67</v>
      </c>
      <c r="E10" s="724">
        <v>355728.89</v>
      </c>
      <c r="F10" s="725">
        <v>463331.89</v>
      </c>
      <c r="G10" s="724">
        <v>62645.99</v>
      </c>
      <c r="H10" s="725">
        <v>138663.5</v>
      </c>
      <c r="I10" s="725">
        <v>358509.03</v>
      </c>
      <c r="J10" s="725">
        <v>365449.72</v>
      </c>
      <c r="K10" s="725">
        <v>160</v>
      </c>
      <c r="L10" s="725">
        <v>1685450.89</v>
      </c>
      <c r="M10" s="725">
        <v>1419146.84</v>
      </c>
      <c r="N10" s="724">
        <v>877026.24</v>
      </c>
      <c r="O10" s="725">
        <v>34973.870000000003</v>
      </c>
      <c r="P10" s="725">
        <v>962419.87</v>
      </c>
      <c r="Q10" s="725">
        <v>471448.13</v>
      </c>
      <c r="R10" s="725">
        <v>346312.34</v>
      </c>
      <c r="S10" s="725"/>
      <c r="T10" s="725"/>
      <c r="U10" s="725">
        <v>35244.01</v>
      </c>
      <c r="V10" s="725">
        <v>121976.18</v>
      </c>
      <c r="W10" s="726">
        <v>114448.43</v>
      </c>
    </row>
    <row r="11" spans="1:23" ht="30" x14ac:dyDescent="0.25">
      <c r="A11" s="742" t="s">
        <v>460</v>
      </c>
      <c r="B11" s="738">
        <f t="shared" si="0"/>
        <v>3473413.33</v>
      </c>
      <c r="C11" s="718"/>
      <c r="D11" s="723">
        <v>783107.45</v>
      </c>
      <c r="E11" s="724">
        <v>123320.73</v>
      </c>
      <c r="F11" s="725">
        <v>158046.76</v>
      </c>
      <c r="G11" s="724">
        <v>20799.23</v>
      </c>
      <c r="H11" s="725">
        <v>47441.56</v>
      </c>
      <c r="I11" s="725">
        <v>126612.35</v>
      </c>
      <c r="J11" s="725">
        <v>124274.04</v>
      </c>
      <c r="K11" s="725">
        <v>3.35</v>
      </c>
      <c r="L11" s="725">
        <v>578520.43999999994</v>
      </c>
      <c r="M11" s="725">
        <v>478923.88</v>
      </c>
      <c r="N11" s="724">
        <v>305737.84000000003</v>
      </c>
      <c r="O11" s="725">
        <v>11617.37</v>
      </c>
      <c r="P11" s="725">
        <v>331523.63</v>
      </c>
      <c r="Q11" s="725">
        <v>167488.54999999999</v>
      </c>
      <c r="R11" s="725">
        <v>121531.24</v>
      </c>
      <c r="S11" s="725"/>
      <c r="T11" s="725"/>
      <c r="U11" s="725">
        <v>12611.44</v>
      </c>
      <c r="V11" s="725">
        <v>41354.269999999997</v>
      </c>
      <c r="W11" s="726">
        <v>40499.199999999997</v>
      </c>
    </row>
    <row r="12" spans="1:23" x14ac:dyDescent="0.25">
      <c r="A12" s="742" t="s">
        <v>461</v>
      </c>
      <c r="B12" s="738">
        <f t="shared" si="0"/>
        <v>96246.2</v>
      </c>
      <c r="C12" s="718"/>
      <c r="D12" s="723">
        <v>14838.94</v>
      </c>
      <c r="E12" s="724">
        <v>5544.51</v>
      </c>
      <c r="F12" s="725">
        <v>5490.11</v>
      </c>
      <c r="G12" s="724">
        <v>503.64</v>
      </c>
      <c r="H12" s="725">
        <v>572</v>
      </c>
      <c r="I12" s="725">
        <v>9870</v>
      </c>
      <c r="J12" s="725">
        <v>4045.44</v>
      </c>
      <c r="K12" s="725">
        <v>0</v>
      </c>
      <c r="L12" s="725">
        <v>15044.17</v>
      </c>
      <c r="M12" s="725">
        <v>6495.31</v>
      </c>
      <c r="N12" s="724">
        <v>14479.56</v>
      </c>
      <c r="O12" s="725">
        <v>0</v>
      </c>
      <c r="P12" s="725">
        <v>0</v>
      </c>
      <c r="Q12" s="725">
        <v>13837.76</v>
      </c>
      <c r="R12" s="725">
        <v>3075.8</v>
      </c>
      <c r="S12" s="725"/>
      <c r="T12" s="725"/>
      <c r="U12" s="725">
        <v>1452.96</v>
      </c>
      <c r="V12" s="725"/>
      <c r="W12" s="726">
        <v>996</v>
      </c>
    </row>
    <row r="13" spans="1:23" x14ac:dyDescent="0.25">
      <c r="A13" s="742" t="s">
        <v>462</v>
      </c>
      <c r="B13" s="738">
        <f t="shared" si="0"/>
        <v>2196040.52</v>
      </c>
      <c r="C13" s="718"/>
      <c r="D13" s="723">
        <v>488577.43</v>
      </c>
      <c r="E13" s="724">
        <v>22451.759999999998</v>
      </c>
      <c r="F13" s="725">
        <v>272285.59999999998</v>
      </c>
      <c r="G13" s="724">
        <v>85271.56</v>
      </c>
      <c r="H13" s="725">
        <v>3966.96</v>
      </c>
      <c r="I13" s="725">
        <v>7745.29</v>
      </c>
      <c r="J13" s="725">
        <v>24302.97</v>
      </c>
      <c r="K13" s="725">
        <v>0</v>
      </c>
      <c r="L13" s="725">
        <v>100827.13</v>
      </c>
      <c r="M13" s="725">
        <v>948263.3</v>
      </c>
      <c r="N13" s="724">
        <v>26215.4</v>
      </c>
      <c r="O13" s="725">
        <v>4218.4399999999996</v>
      </c>
      <c r="P13" s="725">
        <v>19141.419999999998</v>
      </c>
      <c r="Q13" s="725">
        <v>167530.64000000001</v>
      </c>
      <c r="R13" s="725">
        <v>18843.96</v>
      </c>
      <c r="S13" s="725"/>
      <c r="T13" s="725"/>
      <c r="U13" s="725">
        <v>2875.49</v>
      </c>
      <c r="V13" s="725">
        <v>3160.17</v>
      </c>
      <c r="W13" s="726">
        <v>363</v>
      </c>
    </row>
    <row r="14" spans="1:23" x14ac:dyDescent="0.25">
      <c r="A14" s="742" t="s">
        <v>463</v>
      </c>
      <c r="B14" s="738">
        <f t="shared" si="0"/>
        <v>0</v>
      </c>
      <c r="C14" s="718"/>
      <c r="D14" s="723"/>
      <c r="E14" s="724"/>
      <c r="F14" s="725">
        <v>0</v>
      </c>
      <c r="G14" s="724"/>
      <c r="H14" s="725"/>
      <c r="I14" s="725">
        <v>0</v>
      </c>
      <c r="J14" s="725">
        <v>0</v>
      </c>
      <c r="K14" s="725">
        <v>0</v>
      </c>
      <c r="L14" s="725">
        <v>0</v>
      </c>
      <c r="M14" s="725">
        <v>0</v>
      </c>
      <c r="N14" s="724"/>
      <c r="O14" s="725">
        <v>0</v>
      </c>
      <c r="P14" s="725">
        <v>0</v>
      </c>
      <c r="Q14" s="725"/>
      <c r="R14" s="725"/>
      <c r="S14" s="725"/>
      <c r="T14" s="725"/>
      <c r="U14" s="725"/>
      <c r="V14" s="725"/>
      <c r="W14" s="726"/>
    </row>
    <row r="15" spans="1:23" x14ac:dyDescent="0.25">
      <c r="A15" s="742" t="s">
        <v>464</v>
      </c>
      <c r="B15" s="738">
        <f t="shared" si="0"/>
        <v>0</v>
      </c>
      <c r="C15" s="718"/>
      <c r="D15" s="723"/>
      <c r="E15" s="724"/>
      <c r="F15" s="725">
        <v>0</v>
      </c>
      <c r="G15" s="724"/>
      <c r="H15" s="725"/>
      <c r="I15" s="725">
        <v>0</v>
      </c>
      <c r="J15" s="725">
        <v>0</v>
      </c>
      <c r="K15" s="725">
        <v>0</v>
      </c>
      <c r="L15" s="725">
        <v>0</v>
      </c>
      <c r="M15" s="725">
        <v>0</v>
      </c>
      <c r="N15" s="724"/>
      <c r="O15" s="725">
        <v>0</v>
      </c>
      <c r="P15" s="725">
        <v>0</v>
      </c>
      <c r="Q15" s="725"/>
      <c r="R15" s="725"/>
      <c r="S15" s="725"/>
      <c r="T15" s="725"/>
      <c r="U15" s="725"/>
      <c r="V15" s="725"/>
      <c r="W15" s="726"/>
    </row>
    <row r="16" spans="1:23" x14ac:dyDescent="0.25">
      <c r="A16" s="742" t="s">
        <v>465</v>
      </c>
      <c r="B16" s="738">
        <f t="shared" si="0"/>
        <v>200105.33000000005</v>
      </c>
      <c r="C16" s="718"/>
      <c r="D16" s="723"/>
      <c r="E16" s="724">
        <v>12805.37</v>
      </c>
      <c r="F16" s="725">
        <v>6243.6</v>
      </c>
      <c r="G16" s="724"/>
      <c r="H16" s="725"/>
      <c r="I16" s="725">
        <v>0</v>
      </c>
      <c r="J16" s="725">
        <v>0</v>
      </c>
      <c r="K16" s="725">
        <v>0</v>
      </c>
      <c r="L16" s="725">
        <v>103845.89</v>
      </c>
      <c r="M16" s="725">
        <v>0</v>
      </c>
      <c r="N16" s="724"/>
      <c r="O16" s="725">
        <v>0</v>
      </c>
      <c r="P16" s="725">
        <v>69876.66</v>
      </c>
      <c r="Q16" s="725"/>
      <c r="R16" s="725">
        <v>6448.17</v>
      </c>
      <c r="S16" s="725"/>
      <c r="T16" s="725"/>
      <c r="U16" s="725"/>
      <c r="V16" s="725"/>
      <c r="W16" s="726">
        <v>885.64</v>
      </c>
    </row>
    <row r="17" spans="1:23" x14ac:dyDescent="0.25">
      <c r="A17" s="742" t="s">
        <v>466</v>
      </c>
      <c r="B17" s="738">
        <f t="shared" si="0"/>
        <v>99783.48</v>
      </c>
      <c r="C17" s="718"/>
      <c r="D17" s="723">
        <v>7721.83</v>
      </c>
      <c r="E17" s="724"/>
      <c r="F17" s="725">
        <v>0</v>
      </c>
      <c r="G17" s="724">
        <v>48.32</v>
      </c>
      <c r="H17" s="725">
        <v>1119.08</v>
      </c>
      <c r="I17" s="725">
        <v>11714.83</v>
      </c>
      <c r="J17" s="725">
        <v>23101.32</v>
      </c>
      <c r="K17" s="725">
        <v>0</v>
      </c>
      <c r="L17" s="725">
        <v>1441.39</v>
      </c>
      <c r="M17" s="725">
        <v>148.5</v>
      </c>
      <c r="N17" s="724">
        <v>44418.92</v>
      </c>
      <c r="O17" s="725">
        <v>0</v>
      </c>
      <c r="P17" s="725">
        <v>991.51</v>
      </c>
      <c r="Q17" s="725"/>
      <c r="R17" s="725">
        <v>2948.59</v>
      </c>
      <c r="S17" s="725"/>
      <c r="T17" s="725"/>
      <c r="U17" s="725"/>
      <c r="V17" s="725">
        <v>2032.73</v>
      </c>
      <c r="W17" s="726">
        <v>4096.46</v>
      </c>
    </row>
    <row r="18" spans="1:23" x14ac:dyDescent="0.25">
      <c r="A18" s="742" t="s">
        <v>467</v>
      </c>
      <c r="B18" s="738">
        <f t="shared" si="0"/>
        <v>13.91</v>
      </c>
      <c r="C18" s="718"/>
      <c r="D18" s="723"/>
      <c r="E18" s="724"/>
      <c r="F18" s="725">
        <v>0</v>
      </c>
      <c r="G18" s="724"/>
      <c r="H18" s="725">
        <v>3.5</v>
      </c>
      <c r="I18" s="725">
        <v>0</v>
      </c>
      <c r="J18" s="725">
        <v>0</v>
      </c>
      <c r="K18" s="725">
        <v>0</v>
      </c>
      <c r="L18" s="725">
        <v>0</v>
      </c>
      <c r="M18" s="725">
        <v>0</v>
      </c>
      <c r="N18" s="724"/>
      <c r="O18" s="725">
        <v>0</v>
      </c>
      <c r="P18" s="725">
        <v>10.41</v>
      </c>
      <c r="Q18" s="725"/>
      <c r="R18" s="725"/>
      <c r="S18" s="725"/>
      <c r="T18" s="725"/>
      <c r="U18" s="725"/>
      <c r="V18" s="725"/>
      <c r="W18" s="726"/>
    </row>
    <row r="19" spans="1:23" ht="27.75" customHeight="1" x14ac:dyDescent="0.25">
      <c r="A19" s="742" t="s">
        <v>468</v>
      </c>
      <c r="B19" s="738">
        <f t="shared" si="0"/>
        <v>565.52</v>
      </c>
      <c r="C19" s="718"/>
      <c r="D19" s="723">
        <v>265.52</v>
      </c>
      <c r="E19" s="724"/>
      <c r="F19" s="725">
        <v>0</v>
      </c>
      <c r="G19" s="724"/>
      <c r="H19" s="725"/>
      <c r="I19" s="725">
        <v>0</v>
      </c>
      <c r="J19" s="725">
        <v>0</v>
      </c>
      <c r="K19" s="725">
        <v>0</v>
      </c>
      <c r="L19" s="725">
        <v>300</v>
      </c>
      <c r="M19" s="725">
        <v>0</v>
      </c>
      <c r="N19" s="724"/>
      <c r="O19" s="725">
        <v>0</v>
      </c>
      <c r="P19" s="725">
        <v>0</v>
      </c>
      <c r="Q19" s="725"/>
      <c r="R19" s="725"/>
      <c r="S19" s="725"/>
      <c r="T19" s="725"/>
      <c r="U19" s="725"/>
      <c r="V19" s="725"/>
      <c r="W19" s="726"/>
    </row>
    <row r="20" spans="1:23" x14ac:dyDescent="0.25">
      <c r="A20" s="742" t="s">
        <v>469</v>
      </c>
      <c r="B20" s="738">
        <f t="shared" si="0"/>
        <v>30</v>
      </c>
      <c r="C20" s="718"/>
      <c r="D20" s="723"/>
      <c r="E20" s="724"/>
      <c r="F20" s="725">
        <v>0</v>
      </c>
      <c r="G20" s="724"/>
      <c r="H20" s="725"/>
      <c r="I20" s="725">
        <v>0</v>
      </c>
      <c r="J20" s="725">
        <v>0</v>
      </c>
      <c r="K20" s="725">
        <v>0</v>
      </c>
      <c r="L20" s="725">
        <v>30</v>
      </c>
      <c r="M20" s="725">
        <v>0</v>
      </c>
      <c r="N20" s="724"/>
      <c r="O20" s="725">
        <v>0</v>
      </c>
      <c r="P20" s="725">
        <v>0</v>
      </c>
      <c r="Q20" s="725"/>
      <c r="R20" s="725"/>
      <c r="S20" s="725"/>
      <c r="T20" s="725"/>
      <c r="U20" s="725"/>
      <c r="V20" s="725"/>
      <c r="W20" s="726"/>
    </row>
    <row r="21" spans="1:23" x14ac:dyDescent="0.25">
      <c r="A21" s="742" t="s">
        <v>470</v>
      </c>
      <c r="B21" s="738">
        <f t="shared" si="0"/>
        <v>2.59</v>
      </c>
      <c r="C21" s="718"/>
      <c r="D21" s="723">
        <v>2.59</v>
      </c>
      <c r="E21" s="724"/>
      <c r="F21" s="725">
        <v>0</v>
      </c>
      <c r="G21" s="724"/>
      <c r="H21" s="725"/>
      <c r="I21" s="725">
        <v>0</v>
      </c>
      <c r="J21" s="725">
        <v>0</v>
      </c>
      <c r="K21" s="725">
        <v>0</v>
      </c>
      <c r="L21" s="725">
        <v>0</v>
      </c>
      <c r="M21" s="725">
        <v>0</v>
      </c>
      <c r="N21" s="724"/>
      <c r="O21" s="725">
        <v>0</v>
      </c>
      <c r="P21" s="725">
        <v>0</v>
      </c>
      <c r="Q21" s="725"/>
      <c r="R21" s="725"/>
      <c r="S21" s="725"/>
      <c r="T21" s="725"/>
      <c r="U21" s="725"/>
      <c r="V21" s="725"/>
      <c r="W21" s="726"/>
    </row>
    <row r="22" spans="1:23" x14ac:dyDescent="0.25">
      <c r="A22" s="742" t="s">
        <v>471</v>
      </c>
      <c r="B22" s="738">
        <f t="shared" si="0"/>
        <v>2.6100000000000003</v>
      </c>
      <c r="C22" s="718"/>
      <c r="D22" s="723">
        <v>-0.01</v>
      </c>
      <c r="E22" s="724">
        <v>2.62</v>
      </c>
      <c r="F22" s="725">
        <v>0</v>
      </c>
      <c r="G22" s="724"/>
      <c r="H22" s="725"/>
      <c r="I22" s="725">
        <v>0</v>
      </c>
      <c r="J22" s="725">
        <v>0</v>
      </c>
      <c r="K22" s="725">
        <v>0</v>
      </c>
      <c r="L22" s="725">
        <v>0</v>
      </c>
      <c r="M22" s="725">
        <v>0</v>
      </c>
      <c r="N22" s="724"/>
      <c r="O22" s="725">
        <v>0</v>
      </c>
      <c r="P22" s="725">
        <v>0</v>
      </c>
      <c r="Q22" s="725"/>
      <c r="R22" s="725"/>
      <c r="S22" s="725"/>
      <c r="T22" s="725"/>
      <c r="U22" s="725"/>
      <c r="V22" s="725"/>
      <c r="W22" s="726"/>
    </row>
    <row r="23" spans="1:23" x14ac:dyDescent="0.25">
      <c r="A23" s="742" t="s">
        <v>472</v>
      </c>
      <c r="B23" s="738">
        <f t="shared" si="0"/>
        <v>0</v>
      </c>
      <c r="C23" s="718"/>
      <c r="D23" s="723"/>
      <c r="E23" s="724"/>
      <c r="F23" s="725">
        <v>0</v>
      </c>
      <c r="G23" s="724"/>
      <c r="H23" s="725"/>
      <c r="I23" s="725">
        <v>0</v>
      </c>
      <c r="J23" s="725">
        <v>0</v>
      </c>
      <c r="K23" s="725">
        <v>0</v>
      </c>
      <c r="L23" s="725">
        <v>0</v>
      </c>
      <c r="M23" s="725">
        <v>0</v>
      </c>
      <c r="N23" s="724"/>
      <c r="O23" s="725">
        <v>0</v>
      </c>
      <c r="P23" s="725">
        <v>0</v>
      </c>
      <c r="Q23" s="725"/>
      <c r="R23" s="725"/>
      <c r="S23" s="725"/>
      <c r="T23" s="725"/>
      <c r="U23" s="725"/>
      <c r="V23" s="725"/>
      <c r="W23" s="726"/>
    </row>
    <row r="24" spans="1:23" x14ac:dyDescent="0.25">
      <c r="A24" s="742" t="s">
        <v>473</v>
      </c>
      <c r="B24" s="738">
        <f t="shared" si="0"/>
        <v>550</v>
      </c>
      <c r="C24" s="718"/>
      <c r="D24" s="723"/>
      <c r="E24" s="724"/>
      <c r="F24" s="725">
        <v>0</v>
      </c>
      <c r="G24" s="724"/>
      <c r="H24" s="725"/>
      <c r="I24" s="725">
        <v>0</v>
      </c>
      <c r="J24" s="725">
        <v>0</v>
      </c>
      <c r="K24" s="725">
        <v>0</v>
      </c>
      <c r="L24" s="725">
        <v>0</v>
      </c>
      <c r="M24" s="725">
        <v>0</v>
      </c>
      <c r="N24" s="724"/>
      <c r="O24" s="725">
        <v>0</v>
      </c>
      <c r="P24" s="725">
        <v>0</v>
      </c>
      <c r="Q24" s="725"/>
      <c r="R24" s="725"/>
      <c r="S24" s="725"/>
      <c r="T24" s="725">
        <v>550</v>
      </c>
      <c r="U24" s="725"/>
      <c r="V24" s="725"/>
      <c r="W24" s="726"/>
    </row>
    <row r="25" spans="1:23" x14ac:dyDescent="0.25">
      <c r="A25" s="742" t="s">
        <v>474</v>
      </c>
      <c r="B25" s="738">
        <f t="shared" si="0"/>
        <v>3420.43</v>
      </c>
      <c r="C25" s="718"/>
      <c r="D25" s="723">
        <v>401.93</v>
      </c>
      <c r="E25" s="724"/>
      <c r="F25" s="725">
        <v>0</v>
      </c>
      <c r="G25" s="724"/>
      <c r="H25" s="725"/>
      <c r="I25" s="725">
        <v>0</v>
      </c>
      <c r="J25" s="725">
        <v>0</v>
      </c>
      <c r="K25" s="725">
        <v>0</v>
      </c>
      <c r="L25" s="725">
        <v>2837.6</v>
      </c>
      <c r="M25" s="725">
        <v>0</v>
      </c>
      <c r="N25" s="724"/>
      <c r="O25" s="725">
        <v>0</v>
      </c>
      <c r="P25" s="725">
        <v>180.9</v>
      </c>
      <c r="Q25" s="725"/>
      <c r="R25" s="725"/>
      <c r="S25" s="725"/>
      <c r="T25" s="725"/>
      <c r="U25" s="725"/>
      <c r="V25" s="725"/>
      <c r="W25" s="726"/>
    </row>
    <row r="26" spans="1:23" x14ac:dyDescent="0.25">
      <c r="A26" s="742" t="s">
        <v>475</v>
      </c>
      <c r="B26" s="738">
        <f t="shared" si="0"/>
        <v>1764719.6400000004</v>
      </c>
      <c r="C26" s="718"/>
      <c r="D26" s="723">
        <v>35223.919999999998</v>
      </c>
      <c r="E26" s="724">
        <f>85+70741.23</f>
        <v>70826.23</v>
      </c>
      <c r="F26" s="725">
        <v>13</v>
      </c>
      <c r="G26" s="724">
        <v>2104.96</v>
      </c>
      <c r="H26" s="725">
        <v>19.239999999999998</v>
      </c>
      <c r="I26" s="725">
        <v>64473.79</v>
      </c>
      <c r="J26" s="725">
        <v>0.51</v>
      </c>
      <c r="K26" s="725">
        <v>2769.59</v>
      </c>
      <c r="L26" s="725">
        <v>44951.72</v>
      </c>
      <c r="M26" s="725">
        <v>592349.43000000005</v>
      </c>
      <c r="N26" s="724">
        <v>710604.37</v>
      </c>
      <c r="O26" s="725">
        <v>3.06</v>
      </c>
      <c r="P26" s="725">
        <v>79217.58</v>
      </c>
      <c r="Q26" s="725"/>
      <c r="R26" s="725">
        <v>3421.72</v>
      </c>
      <c r="S26" s="725"/>
      <c r="T26" s="725"/>
      <c r="U26" s="725"/>
      <c r="V26" s="725">
        <v>130403.59</v>
      </c>
      <c r="W26" s="726">
        <v>28336.93</v>
      </c>
    </row>
    <row r="27" spans="1:23" ht="27.75" customHeight="1" x14ac:dyDescent="0.25">
      <c r="A27" s="742" t="s">
        <v>476</v>
      </c>
      <c r="B27" s="738">
        <f t="shared" si="0"/>
        <v>818938.06</v>
      </c>
      <c r="C27" s="718"/>
      <c r="D27" s="723"/>
      <c r="E27" s="724">
        <v>16232.78</v>
      </c>
      <c r="F27" s="725">
        <v>317635.7</v>
      </c>
      <c r="G27" s="724"/>
      <c r="H27" s="725"/>
      <c r="I27" s="725">
        <v>181366.84</v>
      </c>
      <c r="J27" s="725">
        <v>0</v>
      </c>
      <c r="K27" s="725">
        <v>0</v>
      </c>
      <c r="L27" s="725">
        <v>102507.38</v>
      </c>
      <c r="M27" s="725">
        <v>40813.71</v>
      </c>
      <c r="N27" s="724">
        <v>6482.99</v>
      </c>
      <c r="O27" s="725">
        <v>0</v>
      </c>
      <c r="P27" s="725">
        <v>102129.88</v>
      </c>
      <c r="Q27" s="725"/>
      <c r="R27" s="725">
        <v>51768.78</v>
      </c>
      <c r="S27" s="725"/>
      <c r="T27" s="725"/>
      <c r="U27" s="725"/>
      <c r="V27" s="725"/>
      <c r="W27" s="726"/>
    </row>
    <row r="28" spans="1:23" ht="45" x14ac:dyDescent="0.25">
      <c r="A28" s="742" t="s">
        <v>549</v>
      </c>
      <c r="B28" s="738">
        <f t="shared" si="0"/>
        <v>594.94000000000005</v>
      </c>
      <c r="C28" s="718"/>
      <c r="D28" s="723"/>
      <c r="E28" s="724"/>
      <c r="F28" s="725">
        <v>0</v>
      </c>
      <c r="G28" s="724"/>
      <c r="H28" s="725"/>
      <c r="I28" s="725">
        <v>0</v>
      </c>
      <c r="J28" s="725">
        <v>0</v>
      </c>
      <c r="K28" s="725">
        <v>0</v>
      </c>
      <c r="L28" s="725">
        <v>594.94000000000005</v>
      </c>
      <c r="M28" s="725">
        <v>0</v>
      </c>
      <c r="N28" s="724"/>
      <c r="O28" s="725">
        <v>0</v>
      </c>
      <c r="P28" s="725">
        <v>0</v>
      </c>
      <c r="Q28" s="725"/>
      <c r="R28" s="725"/>
      <c r="S28" s="725"/>
      <c r="T28" s="725"/>
      <c r="U28" s="725"/>
      <c r="V28" s="725"/>
      <c r="W28" s="726"/>
    </row>
    <row r="29" spans="1:23" x14ac:dyDescent="0.25">
      <c r="A29" s="742" t="s">
        <v>477</v>
      </c>
      <c r="B29" s="738">
        <f t="shared" si="0"/>
        <v>0</v>
      </c>
      <c r="C29" s="718"/>
      <c r="D29" s="723"/>
      <c r="E29" s="724"/>
      <c r="F29" s="725">
        <v>0</v>
      </c>
      <c r="G29" s="724"/>
      <c r="H29" s="725"/>
      <c r="I29" s="725">
        <v>0</v>
      </c>
      <c r="J29" s="725">
        <v>0</v>
      </c>
      <c r="K29" s="725">
        <v>0</v>
      </c>
      <c r="L29" s="725">
        <v>0</v>
      </c>
      <c r="M29" s="725">
        <v>0</v>
      </c>
      <c r="N29" s="724"/>
      <c r="O29" s="725">
        <v>0</v>
      </c>
      <c r="P29" s="725">
        <v>0</v>
      </c>
      <c r="Q29" s="725"/>
      <c r="R29" s="725"/>
      <c r="S29" s="725"/>
      <c r="T29" s="725"/>
      <c r="U29" s="725"/>
      <c r="V29" s="725"/>
      <c r="W29" s="726"/>
    </row>
    <row r="30" spans="1:23" x14ac:dyDescent="0.25">
      <c r="A30" s="742" t="s">
        <v>478</v>
      </c>
      <c r="B30" s="738">
        <f t="shared" si="0"/>
        <v>0</v>
      </c>
      <c r="C30" s="718"/>
      <c r="D30" s="723"/>
      <c r="E30" s="724"/>
      <c r="F30" s="725">
        <v>0</v>
      </c>
      <c r="G30" s="724"/>
      <c r="H30" s="725"/>
      <c r="I30" s="725">
        <v>0</v>
      </c>
      <c r="J30" s="725">
        <v>0</v>
      </c>
      <c r="K30" s="725">
        <v>0</v>
      </c>
      <c r="L30" s="725">
        <v>0</v>
      </c>
      <c r="M30" s="725">
        <v>0</v>
      </c>
      <c r="N30" s="724"/>
      <c r="O30" s="725">
        <v>0</v>
      </c>
      <c r="P30" s="725">
        <v>0</v>
      </c>
      <c r="Q30" s="725"/>
      <c r="R30" s="725"/>
      <c r="S30" s="725"/>
      <c r="T30" s="725"/>
      <c r="U30" s="725"/>
      <c r="V30" s="725"/>
      <c r="W30" s="726"/>
    </row>
    <row r="31" spans="1:23" ht="27.75" customHeight="1" x14ac:dyDescent="0.25">
      <c r="A31" s="742" t="s">
        <v>479</v>
      </c>
      <c r="B31" s="738">
        <f t="shared" si="0"/>
        <v>0</v>
      </c>
      <c r="C31" s="718"/>
      <c r="D31" s="723"/>
      <c r="E31" s="724"/>
      <c r="F31" s="725">
        <v>0</v>
      </c>
      <c r="G31" s="724"/>
      <c r="H31" s="725"/>
      <c r="I31" s="725">
        <v>0</v>
      </c>
      <c r="J31" s="725">
        <v>0</v>
      </c>
      <c r="K31" s="725">
        <v>0</v>
      </c>
      <c r="L31" s="725">
        <v>0</v>
      </c>
      <c r="M31" s="725">
        <v>0</v>
      </c>
      <c r="N31" s="724"/>
      <c r="O31" s="725">
        <v>0</v>
      </c>
      <c r="P31" s="725">
        <v>0</v>
      </c>
      <c r="Q31" s="725"/>
      <c r="R31" s="725"/>
      <c r="S31" s="725"/>
      <c r="T31" s="725"/>
      <c r="U31" s="725"/>
      <c r="V31" s="725"/>
      <c r="W31" s="726"/>
    </row>
    <row r="32" spans="1:23" x14ac:dyDescent="0.25">
      <c r="A32" s="742" t="s">
        <v>480</v>
      </c>
      <c r="B32" s="738">
        <f t="shared" si="0"/>
        <v>1794178.36</v>
      </c>
      <c r="C32" s="718"/>
      <c r="D32" s="723">
        <v>12500</v>
      </c>
      <c r="E32" s="724"/>
      <c r="F32" s="725">
        <v>0</v>
      </c>
      <c r="G32" s="724"/>
      <c r="H32" s="725">
        <v>499918</v>
      </c>
      <c r="I32" s="725">
        <v>0</v>
      </c>
      <c r="J32" s="725">
        <v>0</v>
      </c>
      <c r="K32" s="725">
        <v>0</v>
      </c>
      <c r="L32" s="725">
        <v>0</v>
      </c>
      <c r="M32" s="725">
        <v>0</v>
      </c>
      <c r="N32" s="724"/>
      <c r="O32" s="725">
        <v>21333</v>
      </c>
      <c r="P32" s="725"/>
      <c r="Q32" s="725"/>
      <c r="R32" s="725">
        <v>788803</v>
      </c>
      <c r="S32" s="725"/>
      <c r="T32" s="725"/>
      <c r="U32" s="725"/>
      <c r="V32" s="725">
        <v>42493.03</v>
      </c>
      <c r="W32" s="726">
        <v>429131.33</v>
      </c>
    </row>
    <row r="33" spans="1:23" ht="29.25" customHeight="1" x14ac:dyDescent="0.25">
      <c r="A33" s="742" t="s">
        <v>481</v>
      </c>
      <c r="B33" s="738">
        <f t="shared" si="0"/>
        <v>0</v>
      </c>
      <c r="C33" s="718"/>
      <c r="D33" s="723"/>
      <c r="E33" s="724"/>
      <c r="F33" s="725">
        <v>0</v>
      </c>
      <c r="G33" s="724"/>
      <c r="H33" s="725"/>
      <c r="I33" s="725">
        <v>0</v>
      </c>
      <c r="J33" s="725">
        <v>0</v>
      </c>
      <c r="K33" s="725">
        <v>0</v>
      </c>
      <c r="L33" s="725">
        <v>0</v>
      </c>
      <c r="M33" s="725">
        <v>0</v>
      </c>
      <c r="N33" s="724"/>
      <c r="O33" s="725"/>
      <c r="P33" s="725">
        <v>0</v>
      </c>
      <c r="Q33" s="725"/>
      <c r="R33" s="725"/>
      <c r="S33" s="725"/>
      <c r="T33" s="725"/>
      <c r="U33" s="725"/>
      <c r="V33" s="725"/>
      <c r="W33" s="726"/>
    </row>
    <row r="34" spans="1:23" ht="27" customHeight="1" x14ac:dyDescent="0.25">
      <c r="A34" s="742" t="s">
        <v>482</v>
      </c>
      <c r="B34" s="738">
        <f t="shared" si="0"/>
        <v>10499.47</v>
      </c>
      <c r="C34" s="718"/>
      <c r="D34" s="723"/>
      <c r="E34" s="724"/>
      <c r="F34" s="725">
        <v>0</v>
      </c>
      <c r="G34" s="724"/>
      <c r="H34" s="725"/>
      <c r="I34" s="725">
        <v>0</v>
      </c>
      <c r="J34" s="725">
        <v>0</v>
      </c>
      <c r="K34" s="725">
        <v>0</v>
      </c>
      <c r="L34" s="725">
        <v>0</v>
      </c>
      <c r="M34" s="725">
        <v>0</v>
      </c>
      <c r="N34" s="724"/>
      <c r="O34" s="725"/>
      <c r="P34" s="725">
        <v>10499.47</v>
      </c>
      <c r="Q34" s="725"/>
      <c r="R34" s="725"/>
      <c r="S34" s="725"/>
      <c r="T34" s="725"/>
      <c r="U34" s="725"/>
      <c r="V34" s="725"/>
      <c r="W34" s="726"/>
    </row>
    <row r="35" spans="1:23" ht="27" customHeight="1" x14ac:dyDescent="0.25">
      <c r="A35" s="742" t="s">
        <v>483</v>
      </c>
      <c r="B35" s="738">
        <f t="shared" si="0"/>
        <v>0</v>
      </c>
      <c r="C35" s="718"/>
      <c r="D35" s="723"/>
      <c r="E35" s="724"/>
      <c r="F35" s="725">
        <v>0</v>
      </c>
      <c r="G35" s="724"/>
      <c r="H35" s="725"/>
      <c r="I35" s="725">
        <v>0</v>
      </c>
      <c r="J35" s="725">
        <v>0</v>
      </c>
      <c r="K35" s="725">
        <v>0</v>
      </c>
      <c r="L35" s="725">
        <v>0</v>
      </c>
      <c r="M35" s="725">
        <v>0</v>
      </c>
      <c r="N35" s="724"/>
      <c r="O35" s="725"/>
      <c r="P35" s="725">
        <v>0</v>
      </c>
      <c r="Q35" s="725"/>
      <c r="R35" s="725"/>
      <c r="S35" s="725"/>
      <c r="T35" s="725"/>
      <c r="U35" s="725"/>
      <c r="V35" s="725"/>
      <c r="W35" s="726"/>
    </row>
    <row r="36" spans="1:23" ht="27" customHeight="1" x14ac:dyDescent="0.25">
      <c r="A36" s="742" t="s">
        <v>484</v>
      </c>
      <c r="B36" s="738">
        <f t="shared" si="0"/>
        <v>0</v>
      </c>
      <c r="C36" s="718"/>
      <c r="D36" s="723"/>
      <c r="E36" s="724"/>
      <c r="F36" s="725">
        <v>0</v>
      </c>
      <c r="G36" s="724"/>
      <c r="H36" s="725"/>
      <c r="I36" s="725">
        <v>0</v>
      </c>
      <c r="J36" s="725">
        <v>0</v>
      </c>
      <c r="K36" s="725">
        <v>0</v>
      </c>
      <c r="L36" s="725">
        <v>0</v>
      </c>
      <c r="M36" s="725">
        <v>0</v>
      </c>
      <c r="N36" s="724"/>
      <c r="O36" s="725"/>
      <c r="P36" s="725">
        <v>0</v>
      </c>
      <c r="Q36" s="725"/>
      <c r="R36" s="725"/>
      <c r="S36" s="725"/>
      <c r="T36" s="725"/>
      <c r="U36" s="725"/>
      <c r="V36" s="725"/>
      <c r="W36" s="726"/>
    </row>
    <row r="37" spans="1:23" ht="28.5" customHeight="1" x14ac:dyDescent="0.25">
      <c r="A37" s="742" t="s">
        <v>485</v>
      </c>
      <c r="B37" s="738">
        <f t="shared" si="0"/>
        <v>579770.97</v>
      </c>
      <c r="C37" s="718"/>
      <c r="D37" s="723">
        <v>330890.96999999997</v>
      </c>
      <c r="E37" s="724">
        <v>5600</v>
      </c>
      <c r="F37" s="725">
        <v>0</v>
      </c>
      <c r="G37" s="724"/>
      <c r="H37" s="725">
        <v>5250</v>
      </c>
      <c r="I37" s="725">
        <v>8730</v>
      </c>
      <c r="J37" s="725">
        <v>55660</v>
      </c>
      <c r="K37" s="725">
        <v>0</v>
      </c>
      <c r="L37" s="725">
        <v>63070</v>
      </c>
      <c r="M37" s="725">
        <v>46580</v>
      </c>
      <c r="N37" s="724">
        <v>28430</v>
      </c>
      <c r="O37" s="725"/>
      <c r="P37" s="725">
        <v>4920</v>
      </c>
      <c r="Q37" s="725">
        <v>24640</v>
      </c>
      <c r="R37" s="725"/>
      <c r="S37" s="725"/>
      <c r="T37" s="725"/>
      <c r="U37" s="725"/>
      <c r="V37" s="725">
        <v>2900</v>
      </c>
      <c r="W37" s="726">
        <v>3100</v>
      </c>
    </row>
    <row r="38" spans="1:23" ht="27.75" customHeight="1" x14ac:dyDescent="0.25">
      <c r="A38" s="742" t="s">
        <v>486</v>
      </c>
      <c r="B38" s="738">
        <f t="shared" si="0"/>
        <v>0</v>
      </c>
      <c r="C38" s="718"/>
      <c r="D38" s="723"/>
      <c r="E38" s="724"/>
      <c r="F38" s="725">
        <v>0</v>
      </c>
      <c r="G38" s="724"/>
      <c r="H38" s="725"/>
      <c r="I38" s="725">
        <v>0</v>
      </c>
      <c r="J38" s="725">
        <v>0</v>
      </c>
      <c r="K38" s="725">
        <v>0</v>
      </c>
      <c r="L38" s="725">
        <v>0</v>
      </c>
      <c r="M38" s="725">
        <v>0</v>
      </c>
      <c r="N38" s="724"/>
      <c r="O38" s="725"/>
      <c r="P38" s="725">
        <v>0</v>
      </c>
      <c r="Q38" s="725"/>
      <c r="R38" s="725"/>
      <c r="S38" s="725"/>
      <c r="T38" s="725"/>
      <c r="U38" s="725"/>
      <c r="V38" s="725"/>
      <c r="W38" s="726"/>
    </row>
    <row r="39" spans="1:23" ht="30.75" customHeight="1" x14ac:dyDescent="0.25">
      <c r="A39" s="620" t="s">
        <v>340</v>
      </c>
      <c r="B39" s="738"/>
      <c r="C39" s="718"/>
      <c r="D39" s="727"/>
      <c r="E39" s="728"/>
      <c r="F39" s="729">
        <v>0</v>
      </c>
      <c r="G39" s="728"/>
      <c r="H39" s="729"/>
      <c r="I39" s="729">
        <v>0</v>
      </c>
      <c r="J39" s="729">
        <v>0</v>
      </c>
      <c r="K39" s="729">
        <v>0</v>
      </c>
      <c r="L39" s="729">
        <v>0</v>
      </c>
      <c r="M39" s="729">
        <v>0</v>
      </c>
      <c r="N39" s="728"/>
      <c r="O39" s="729"/>
      <c r="P39" s="729">
        <v>0</v>
      </c>
      <c r="Q39" s="729"/>
      <c r="R39" s="729"/>
      <c r="S39" s="729"/>
      <c r="T39" s="729"/>
      <c r="U39" s="729"/>
      <c r="V39" s="729"/>
      <c r="W39" s="730"/>
    </row>
    <row r="40" spans="1:23" ht="33.75" customHeight="1" thickBot="1" x14ac:dyDescent="0.3">
      <c r="A40" s="743" t="s">
        <v>487</v>
      </c>
      <c r="B40" s="738">
        <f t="shared" si="0"/>
        <v>0</v>
      </c>
      <c r="C40" s="718"/>
      <c r="D40" s="727"/>
      <c r="E40" s="728"/>
      <c r="F40" s="729">
        <v>0</v>
      </c>
      <c r="G40" s="728"/>
      <c r="H40" s="729"/>
      <c r="I40" s="729">
        <v>0</v>
      </c>
      <c r="J40" s="729">
        <v>0</v>
      </c>
      <c r="K40" s="729">
        <v>0</v>
      </c>
      <c r="L40" s="729">
        <v>0</v>
      </c>
      <c r="M40" s="729">
        <v>0</v>
      </c>
      <c r="N40" s="728"/>
      <c r="O40" s="729"/>
      <c r="P40" s="729">
        <v>0</v>
      </c>
      <c r="Q40" s="729"/>
      <c r="R40" s="729"/>
      <c r="S40" s="729"/>
      <c r="T40" s="729"/>
      <c r="U40" s="729"/>
      <c r="V40" s="729"/>
      <c r="W40" s="730"/>
    </row>
    <row r="41" spans="1:23" ht="15.75" thickBot="1" x14ac:dyDescent="0.3">
      <c r="A41" s="740" t="s">
        <v>18</v>
      </c>
      <c r="B41" s="731">
        <f>SUM(B3:B40)</f>
        <v>49121572.810000002</v>
      </c>
      <c r="C41" s="718"/>
      <c r="D41" s="732">
        <f t="shared" ref="D41:M41" si="1">SUM(D3:D40)</f>
        <v>12393963.389999997</v>
      </c>
      <c r="E41" s="733">
        <f t="shared" si="1"/>
        <v>1320384.1200000003</v>
      </c>
      <c r="F41" s="733">
        <f t="shared" si="1"/>
        <v>2086489.0400000003</v>
      </c>
      <c r="G41" s="733">
        <f t="shared" si="1"/>
        <v>227537.97</v>
      </c>
      <c r="H41" s="733">
        <f t="shared" si="1"/>
        <v>1266107.5</v>
      </c>
      <c r="I41" s="733">
        <f t="shared" si="1"/>
        <v>1368184.6900000004</v>
      </c>
      <c r="J41" s="733">
        <f t="shared" si="1"/>
        <v>945590.20999999985</v>
      </c>
      <c r="K41" s="733">
        <f t="shared" si="1"/>
        <v>106241.44</v>
      </c>
      <c r="L41" s="733">
        <f t="shared" si="1"/>
        <v>8352747.8199999984</v>
      </c>
      <c r="M41" s="733">
        <f t="shared" si="1"/>
        <v>7201142.2999999989</v>
      </c>
      <c r="N41" s="733">
        <f>SUM(N3:N40)</f>
        <v>4355851.99</v>
      </c>
      <c r="O41" s="733">
        <f>SUM(O3:O40)</f>
        <v>128093.76000000001</v>
      </c>
      <c r="P41" s="733">
        <f>SUM(P3:P40)</f>
        <v>3841662.5599999996</v>
      </c>
      <c r="Q41" s="733">
        <f>SUM(Q3:Q40)</f>
        <v>1569716.1100000003</v>
      </c>
      <c r="R41" s="733">
        <f t="shared" ref="R41:W41" si="2">SUM(R3:R40)</f>
        <v>2333410.2000000002</v>
      </c>
      <c r="S41" s="733">
        <f t="shared" si="2"/>
        <v>1306</v>
      </c>
      <c r="T41" s="733">
        <f t="shared" si="2"/>
        <v>2492.54</v>
      </c>
      <c r="U41" s="733">
        <f t="shared" si="2"/>
        <v>69898.390000000014</v>
      </c>
      <c r="V41" s="733">
        <f t="shared" si="2"/>
        <v>587938.24</v>
      </c>
      <c r="W41" s="734">
        <f t="shared" si="2"/>
        <v>962814.54</v>
      </c>
    </row>
    <row r="42" spans="1:23" x14ac:dyDescent="0.25">
      <c r="W42" s="460" t="s">
        <v>497</v>
      </c>
    </row>
  </sheetData>
  <mergeCells count="1">
    <mergeCell ref="A1:B1"/>
  </mergeCells>
  <pageMargins left="0.31496062992125984" right="0" top="0.15748031496062992" bottom="0" header="0.31496062992125984" footer="0.31496062992125984"/>
  <pageSetup paperSize="9" scale="6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/>
  </sheetViews>
  <sheetFormatPr defaultRowHeight="15" x14ac:dyDescent="0.25"/>
  <cols>
    <col min="1" max="1" width="68.28515625" style="849" customWidth="1"/>
    <col min="2" max="2" width="24" style="849" customWidth="1"/>
  </cols>
  <sheetData>
    <row r="1" spans="1:2" ht="26.25" customHeight="1" x14ac:dyDescent="0.25">
      <c r="A1" s="854" t="s">
        <v>592</v>
      </c>
      <c r="B1" s="848"/>
    </row>
    <row r="2" spans="1:2" x14ac:dyDescent="0.25">
      <c r="B2" s="848"/>
    </row>
    <row r="3" spans="1:2" x14ac:dyDescent="0.25">
      <c r="A3" s="848" t="s">
        <v>589</v>
      </c>
      <c r="B3" s="848" t="s">
        <v>590</v>
      </c>
    </row>
    <row r="5" spans="1:2" ht="26.25" customHeight="1" x14ac:dyDescent="0.25">
      <c r="A5" s="848" t="s">
        <v>596</v>
      </c>
    </row>
    <row r="6" spans="1:2" x14ac:dyDescent="0.25">
      <c r="A6" s="850" t="s">
        <v>593</v>
      </c>
      <c r="B6" s="851" t="s">
        <v>173</v>
      </c>
    </row>
    <row r="7" spans="1:2" x14ac:dyDescent="0.25">
      <c r="A7" s="850" t="s">
        <v>559</v>
      </c>
      <c r="B7" s="851" t="s">
        <v>29</v>
      </c>
    </row>
    <row r="8" spans="1:2" x14ac:dyDescent="0.25">
      <c r="A8" s="850" t="s">
        <v>594</v>
      </c>
      <c r="B8" s="851" t="s">
        <v>130</v>
      </c>
    </row>
    <row r="9" spans="1:2" x14ac:dyDescent="0.25">
      <c r="A9" s="857" t="s">
        <v>595</v>
      </c>
      <c r="B9" s="851" t="s">
        <v>31</v>
      </c>
    </row>
    <row r="10" spans="1:2" x14ac:dyDescent="0.25">
      <c r="A10" s="850" t="s">
        <v>560</v>
      </c>
      <c r="B10" s="851" t="s">
        <v>32</v>
      </c>
    </row>
    <row r="11" spans="1:2" x14ac:dyDescent="0.25">
      <c r="A11" s="850" t="s">
        <v>561</v>
      </c>
      <c r="B11" s="851" t="s">
        <v>26</v>
      </c>
    </row>
    <row r="12" spans="1:2" x14ac:dyDescent="0.25">
      <c r="A12" s="850" t="s">
        <v>562</v>
      </c>
      <c r="B12" s="851" t="s">
        <v>27</v>
      </c>
    </row>
    <row r="13" spans="1:2" x14ac:dyDescent="0.25">
      <c r="A13" s="850" t="s">
        <v>563</v>
      </c>
      <c r="B13" s="851" t="s">
        <v>38</v>
      </c>
    </row>
    <row r="14" spans="1:2" x14ac:dyDescent="0.25">
      <c r="A14" s="850" t="s">
        <v>564</v>
      </c>
      <c r="B14" s="851" t="s">
        <v>386</v>
      </c>
    </row>
    <row r="15" spans="1:2" x14ac:dyDescent="0.25">
      <c r="A15" s="850" t="s">
        <v>565</v>
      </c>
      <c r="B15" s="851" t="s">
        <v>34</v>
      </c>
    </row>
    <row r="16" spans="1:2" x14ac:dyDescent="0.25">
      <c r="A16" s="850" t="s">
        <v>566</v>
      </c>
      <c r="B16" s="851" t="s">
        <v>42</v>
      </c>
    </row>
    <row r="17" spans="1:2" x14ac:dyDescent="0.25">
      <c r="A17" s="850" t="s">
        <v>567</v>
      </c>
      <c r="B17" s="851" t="s">
        <v>25</v>
      </c>
    </row>
    <row r="18" spans="1:2" x14ac:dyDescent="0.25">
      <c r="A18" s="850" t="s">
        <v>568</v>
      </c>
      <c r="B18" s="851" t="s">
        <v>30</v>
      </c>
    </row>
    <row r="19" spans="1:2" x14ac:dyDescent="0.25">
      <c r="A19" s="850" t="s">
        <v>569</v>
      </c>
      <c r="B19" s="851" t="s">
        <v>172</v>
      </c>
    </row>
    <row r="20" spans="1:2" x14ac:dyDescent="0.25">
      <c r="A20" s="850" t="s">
        <v>570</v>
      </c>
      <c r="B20" s="851" t="s">
        <v>33</v>
      </c>
    </row>
    <row r="21" spans="1:2" x14ac:dyDescent="0.25">
      <c r="A21" s="850" t="s">
        <v>571</v>
      </c>
      <c r="B21" s="851" t="s">
        <v>36</v>
      </c>
    </row>
    <row r="22" spans="1:2" x14ac:dyDescent="0.25">
      <c r="A22" s="850" t="s">
        <v>572</v>
      </c>
      <c r="B22" s="851" t="s">
        <v>111</v>
      </c>
    </row>
    <row r="23" spans="1:2" x14ac:dyDescent="0.25">
      <c r="A23" s="850" t="s">
        <v>573</v>
      </c>
      <c r="B23" s="851" t="s">
        <v>43</v>
      </c>
    </row>
    <row r="24" spans="1:2" x14ac:dyDescent="0.25">
      <c r="A24" s="850" t="s">
        <v>574</v>
      </c>
      <c r="B24" s="851" t="s">
        <v>45</v>
      </c>
    </row>
    <row r="25" spans="1:2" x14ac:dyDescent="0.25">
      <c r="A25" s="850" t="s">
        <v>575</v>
      </c>
      <c r="B25" s="851" t="s">
        <v>49</v>
      </c>
    </row>
    <row r="26" spans="1:2" ht="27.75" customHeight="1" x14ac:dyDescent="0.25">
      <c r="B26" s="48"/>
    </row>
    <row r="27" spans="1:2" ht="26.25" customHeight="1" x14ac:dyDescent="0.25">
      <c r="A27" s="853" t="s">
        <v>591</v>
      </c>
    </row>
    <row r="28" spans="1:2" ht="31.5" customHeight="1" x14ac:dyDescent="0.25">
      <c r="A28" s="852" t="s">
        <v>576</v>
      </c>
      <c r="B28" s="851" t="s">
        <v>396</v>
      </c>
    </row>
    <row r="29" spans="1:2" ht="15" customHeight="1" x14ac:dyDescent="0.25">
      <c r="A29" s="850" t="s">
        <v>577</v>
      </c>
      <c r="B29" s="851" t="s">
        <v>395</v>
      </c>
    </row>
    <row r="30" spans="1:2" x14ac:dyDescent="0.25">
      <c r="A30" s="850" t="s">
        <v>578</v>
      </c>
      <c r="B30" s="850" t="s">
        <v>405</v>
      </c>
    </row>
    <row r="31" spans="1:2" ht="27.75" customHeight="1" x14ac:dyDescent="0.25">
      <c r="A31" s="852" t="s">
        <v>579</v>
      </c>
      <c r="B31" s="850" t="s">
        <v>588</v>
      </c>
    </row>
    <row r="32" spans="1:2" x14ac:dyDescent="0.25">
      <c r="A32" s="850" t="s">
        <v>580</v>
      </c>
      <c r="B32" s="850" t="s">
        <v>108</v>
      </c>
    </row>
    <row r="33" spans="1:2" x14ac:dyDescent="0.25">
      <c r="A33" s="850" t="s">
        <v>581</v>
      </c>
      <c r="B33" s="850" t="s">
        <v>51</v>
      </c>
    </row>
    <row r="34" spans="1:2" x14ac:dyDescent="0.25">
      <c r="A34" s="850" t="s">
        <v>582</v>
      </c>
      <c r="B34" s="850" t="s">
        <v>40</v>
      </c>
    </row>
    <row r="35" spans="1:2" ht="15" customHeight="1" x14ac:dyDescent="0.25">
      <c r="A35" s="850" t="s">
        <v>583</v>
      </c>
      <c r="B35" s="850" t="s">
        <v>37</v>
      </c>
    </row>
    <row r="36" spans="1:2" x14ac:dyDescent="0.25">
      <c r="A36" s="850" t="s">
        <v>584</v>
      </c>
      <c r="B36" s="850" t="s">
        <v>50</v>
      </c>
    </row>
    <row r="37" spans="1:2" x14ac:dyDescent="0.25">
      <c r="A37" s="850" t="s">
        <v>585</v>
      </c>
      <c r="B37" s="850" t="s">
        <v>547</v>
      </c>
    </row>
    <row r="38" spans="1:2" x14ac:dyDescent="0.25">
      <c r="A38" s="850" t="s">
        <v>586</v>
      </c>
      <c r="B38" s="850" t="s">
        <v>41</v>
      </c>
    </row>
    <row r="39" spans="1:2" x14ac:dyDescent="0.25">
      <c r="A39" s="850" t="s">
        <v>587</v>
      </c>
      <c r="B39" s="850" t="s">
        <v>28</v>
      </c>
    </row>
  </sheetData>
  <phoneticPr fontId="47" type="noConversion"/>
  <pageMargins left="0.70866141732283472" right="0.31496062992125984" top="0.74803149606299213" bottom="0.74803149606299213" header="0.31496062992125984" footer="0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X40"/>
  <sheetViews>
    <sheetView workbookViewId="0">
      <selection sqref="A1:B1"/>
    </sheetView>
  </sheetViews>
  <sheetFormatPr defaultRowHeight="15.75" x14ac:dyDescent="0.25"/>
  <cols>
    <col min="1" max="1" width="32.28515625" style="420" customWidth="1"/>
    <col min="2" max="2" width="10" style="420" customWidth="1"/>
    <col min="3" max="3" width="1.42578125" style="420" customWidth="1"/>
    <col min="4" max="4" width="11.28515625" style="420" bestFit="1" customWidth="1"/>
    <col min="5" max="6" width="10.140625" style="420" bestFit="1" customWidth="1"/>
    <col min="7" max="8" width="8.42578125" style="420" bestFit="1" customWidth="1"/>
    <col min="9" max="10" width="10.140625" style="420" bestFit="1" customWidth="1"/>
    <col min="11" max="11" width="8.42578125" style="420" bestFit="1" customWidth="1"/>
    <col min="12" max="13" width="10.140625" style="420" bestFit="1" customWidth="1"/>
    <col min="14" max="14" width="9.42578125" style="420" customWidth="1"/>
    <col min="15" max="15" width="8.42578125" style="420" bestFit="1" customWidth="1"/>
    <col min="16" max="16" width="10.140625" style="420" customWidth="1"/>
    <col min="17" max="18" width="10.140625" style="420" bestFit="1" customWidth="1"/>
    <col min="19" max="19" width="8.28515625" style="420" bestFit="1" customWidth="1"/>
    <col min="20" max="21" width="8" style="420" customWidth="1"/>
    <col min="22" max="22" width="8.42578125" style="420" bestFit="1" customWidth="1"/>
    <col min="23" max="23" width="8.5703125" style="420" customWidth="1"/>
    <col min="24" max="24" width="10.42578125" style="420" customWidth="1"/>
    <col min="25" max="16384" width="9.140625" style="420"/>
  </cols>
  <sheetData>
    <row r="1" spans="1:23" ht="54.75" customHeight="1" thickBot="1" x14ac:dyDescent="0.3">
      <c r="A1" s="1081" t="s">
        <v>494</v>
      </c>
      <c r="B1" s="1082"/>
      <c r="C1" s="419"/>
      <c r="D1" s="795" t="s">
        <v>437</v>
      </c>
      <c r="E1" s="759" t="s">
        <v>438</v>
      </c>
      <c r="F1" s="759" t="s">
        <v>439</v>
      </c>
      <c r="G1" s="759" t="s">
        <v>440</v>
      </c>
      <c r="H1" s="759" t="s">
        <v>548</v>
      </c>
      <c r="I1" s="759" t="s">
        <v>441</v>
      </c>
      <c r="J1" s="759" t="s">
        <v>442</v>
      </c>
      <c r="K1" s="759" t="s">
        <v>443</v>
      </c>
      <c r="L1" s="759" t="s">
        <v>444</v>
      </c>
      <c r="M1" s="759" t="s">
        <v>445</v>
      </c>
      <c r="N1" s="759" t="s">
        <v>446</v>
      </c>
      <c r="O1" s="759" t="s">
        <v>447</v>
      </c>
      <c r="P1" s="759" t="s">
        <v>448</v>
      </c>
      <c r="Q1" s="759" t="s">
        <v>449</v>
      </c>
      <c r="R1" s="759" t="s">
        <v>450</v>
      </c>
      <c r="S1" s="759" t="s">
        <v>451</v>
      </c>
      <c r="T1" s="759" t="s">
        <v>452</v>
      </c>
      <c r="U1" s="759" t="s">
        <v>453</v>
      </c>
      <c r="V1" s="759" t="s">
        <v>454</v>
      </c>
      <c r="W1" s="716" t="s">
        <v>455</v>
      </c>
    </row>
    <row r="2" spans="1:23" s="421" customFormat="1" ht="51" customHeight="1" thickBot="1" x14ac:dyDescent="0.3">
      <c r="A2" s="744" t="s">
        <v>133</v>
      </c>
      <c r="B2" s="744" t="s">
        <v>289</v>
      </c>
      <c r="C2" s="713"/>
      <c r="D2" s="714" t="s">
        <v>289</v>
      </c>
      <c r="E2" s="715" t="s">
        <v>289</v>
      </c>
      <c r="F2" s="715" t="s">
        <v>289</v>
      </c>
      <c r="G2" s="715" t="s">
        <v>289</v>
      </c>
      <c r="H2" s="715" t="s">
        <v>289</v>
      </c>
      <c r="I2" s="715" t="s">
        <v>289</v>
      </c>
      <c r="J2" s="715" t="s">
        <v>289</v>
      </c>
      <c r="K2" s="715" t="s">
        <v>289</v>
      </c>
      <c r="L2" s="715" t="s">
        <v>289</v>
      </c>
      <c r="M2" s="715" t="s">
        <v>289</v>
      </c>
      <c r="N2" s="715" t="s">
        <v>289</v>
      </c>
      <c r="O2" s="715" t="s">
        <v>289</v>
      </c>
      <c r="P2" s="715" t="s">
        <v>289</v>
      </c>
      <c r="Q2" s="715" t="s">
        <v>289</v>
      </c>
      <c r="R2" s="715" t="s">
        <v>289</v>
      </c>
      <c r="S2" s="715" t="s">
        <v>289</v>
      </c>
      <c r="T2" s="715" t="s">
        <v>289</v>
      </c>
      <c r="U2" s="715" t="s">
        <v>289</v>
      </c>
      <c r="V2" s="715" t="s">
        <v>289</v>
      </c>
      <c r="W2" s="716" t="s">
        <v>289</v>
      </c>
    </row>
    <row r="3" spans="1:23" x14ac:dyDescent="0.25">
      <c r="A3" s="745" t="s">
        <v>292</v>
      </c>
      <c r="B3" s="717">
        <f>SUM(D3:W3)</f>
        <v>648751.39</v>
      </c>
      <c r="C3" s="746"/>
      <c r="D3" s="747">
        <v>50448.1</v>
      </c>
      <c r="E3" s="748">
        <v>103819.27</v>
      </c>
      <c r="F3" s="749">
        <v>0</v>
      </c>
      <c r="G3" s="748"/>
      <c r="H3" s="749"/>
      <c r="I3" s="749"/>
      <c r="J3" s="749">
        <v>0</v>
      </c>
      <c r="K3" s="749">
        <v>0</v>
      </c>
      <c r="L3" s="749">
        <v>0</v>
      </c>
      <c r="M3" s="749">
        <v>0</v>
      </c>
      <c r="N3" s="720"/>
      <c r="O3" s="749">
        <v>0</v>
      </c>
      <c r="P3" s="749">
        <v>488823.89</v>
      </c>
      <c r="Q3" s="749"/>
      <c r="R3" s="749">
        <v>5660.13</v>
      </c>
      <c r="S3" s="749"/>
      <c r="T3" s="749"/>
      <c r="U3" s="749"/>
      <c r="V3" s="749"/>
      <c r="W3" s="722"/>
    </row>
    <row r="4" spans="1:23" x14ac:dyDescent="0.25">
      <c r="A4" s="745" t="s">
        <v>293</v>
      </c>
      <c r="B4" s="717">
        <f t="shared" ref="B4:B37" si="0">SUM(D4:W4)</f>
        <v>27030128.969999999</v>
      </c>
      <c r="C4" s="746"/>
      <c r="D4" s="750">
        <v>8550035.75</v>
      </c>
      <c r="E4" s="751">
        <v>747856.21</v>
      </c>
      <c r="F4" s="752">
        <v>954051</v>
      </c>
      <c r="G4" s="751">
        <v>73423.210000000006</v>
      </c>
      <c r="H4" s="752">
        <v>445860.74</v>
      </c>
      <c r="I4" s="752">
        <v>833279.69</v>
      </c>
      <c r="J4" s="752">
        <v>14854.7</v>
      </c>
      <c r="K4" s="749">
        <v>0</v>
      </c>
      <c r="L4" s="752">
        <v>4993932.7699999996</v>
      </c>
      <c r="M4" s="752">
        <v>4128608.47</v>
      </c>
      <c r="N4" s="724">
        <v>2418632.41</v>
      </c>
      <c r="O4" s="752">
        <v>98039.31</v>
      </c>
      <c r="P4" s="752">
        <v>1688429.76</v>
      </c>
      <c r="Q4" s="752">
        <v>674148</v>
      </c>
      <c r="R4" s="752">
        <v>832497.82</v>
      </c>
      <c r="S4" s="752"/>
      <c r="T4" s="752"/>
      <c r="U4" s="752">
        <v>47334.54</v>
      </c>
      <c r="V4" s="752">
        <v>268542.96999999997</v>
      </c>
      <c r="W4" s="726">
        <v>260601.62</v>
      </c>
    </row>
    <row r="5" spans="1:23" x14ac:dyDescent="0.25">
      <c r="A5" s="745" t="s">
        <v>613</v>
      </c>
      <c r="B5" s="717">
        <f t="shared" si="0"/>
        <v>566662.16</v>
      </c>
      <c r="C5" s="746"/>
      <c r="D5" s="750"/>
      <c r="E5" s="751"/>
      <c r="F5" s="752">
        <v>0</v>
      </c>
      <c r="G5" s="751"/>
      <c r="H5" s="752"/>
      <c r="I5" s="752"/>
      <c r="J5" s="752">
        <v>0</v>
      </c>
      <c r="K5" s="749">
        <v>0</v>
      </c>
      <c r="L5" s="752">
        <v>52861.63</v>
      </c>
      <c r="M5" s="752">
        <v>183361.89</v>
      </c>
      <c r="N5" s="724"/>
      <c r="O5" s="752">
        <v>0</v>
      </c>
      <c r="P5" s="752">
        <v>330438.64</v>
      </c>
      <c r="Q5" s="752"/>
      <c r="R5" s="752"/>
      <c r="S5" s="752"/>
      <c r="T5" s="752"/>
      <c r="U5" s="752"/>
      <c r="V5" s="752"/>
      <c r="W5" s="726"/>
    </row>
    <row r="6" spans="1:23" ht="28.5" customHeight="1" x14ac:dyDescent="0.25">
      <c r="A6" s="745" t="s">
        <v>294</v>
      </c>
      <c r="B6" s="717">
        <f t="shared" si="0"/>
        <v>0</v>
      </c>
      <c r="C6" s="746"/>
      <c r="D6" s="750"/>
      <c r="E6" s="751"/>
      <c r="F6" s="752">
        <v>0</v>
      </c>
      <c r="G6" s="751"/>
      <c r="H6" s="752"/>
      <c r="I6" s="752"/>
      <c r="J6" s="752">
        <v>0</v>
      </c>
      <c r="K6" s="749">
        <v>0</v>
      </c>
      <c r="L6" s="752">
        <v>0</v>
      </c>
      <c r="M6" s="752">
        <v>0</v>
      </c>
      <c r="N6" s="724"/>
      <c r="O6" s="752">
        <v>0</v>
      </c>
      <c r="P6" s="752">
        <v>0</v>
      </c>
      <c r="Q6" s="752"/>
      <c r="R6" s="752"/>
      <c r="S6" s="752"/>
      <c r="T6" s="752"/>
      <c r="U6" s="752"/>
      <c r="V6" s="752"/>
      <c r="W6" s="726"/>
    </row>
    <row r="7" spans="1:23" ht="28.5" customHeight="1" x14ac:dyDescent="0.25">
      <c r="A7" s="745" t="s">
        <v>295</v>
      </c>
      <c r="B7" s="717">
        <f t="shared" si="0"/>
        <v>0</v>
      </c>
      <c r="C7" s="746"/>
      <c r="D7" s="750"/>
      <c r="E7" s="751"/>
      <c r="F7" s="752">
        <v>0</v>
      </c>
      <c r="G7" s="751"/>
      <c r="H7" s="752"/>
      <c r="I7" s="752"/>
      <c r="J7" s="752">
        <v>0</v>
      </c>
      <c r="K7" s="749">
        <v>0</v>
      </c>
      <c r="L7" s="752">
        <v>0</v>
      </c>
      <c r="M7" s="752">
        <v>0</v>
      </c>
      <c r="N7" s="724"/>
      <c r="O7" s="752">
        <v>0</v>
      </c>
      <c r="P7" s="752">
        <v>0</v>
      </c>
      <c r="Q7" s="752"/>
      <c r="R7" s="752"/>
      <c r="S7" s="752"/>
      <c r="T7" s="752"/>
      <c r="U7" s="752"/>
      <c r="V7" s="752"/>
      <c r="W7" s="726"/>
    </row>
    <row r="8" spans="1:23" ht="23.25" customHeight="1" x14ac:dyDescent="0.25">
      <c r="A8" s="745" t="s">
        <v>614</v>
      </c>
      <c r="B8" s="717">
        <f t="shared" si="0"/>
        <v>0</v>
      </c>
      <c r="C8" s="746"/>
      <c r="D8" s="750"/>
      <c r="E8" s="751"/>
      <c r="F8" s="752">
        <v>0</v>
      </c>
      <c r="G8" s="751"/>
      <c r="H8" s="752"/>
      <c r="I8" s="752"/>
      <c r="J8" s="752">
        <v>0</v>
      </c>
      <c r="K8" s="749">
        <v>0</v>
      </c>
      <c r="L8" s="752">
        <v>0</v>
      </c>
      <c r="M8" s="752">
        <v>0</v>
      </c>
      <c r="N8" s="724"/>
      <c r="O8" s="752">
        <v>0</v>
      </c>
      <c r="P8" s="752">
        <v>0</v>
      </c>
      <c r="Q8" s="752"/>
      <c r="R8" s="752"/>
      <c r="S8" s="752"/>
      <c r="T8" s="752"/>
      <c r="U8" s="752"/>
      <c r="V8" s="752"/>
      <c r="W8" s="726"/>
    </row>
    <row r="9" spans="1:23" x14ac:dyDescent="0.25">
      <c r="A9" s="745" t="s">
        <v>296</v>
      </c>
      <c r="B9" s="717">
        <f t="shared" si="0"/>
        <v>0</v>
      </c>
      <c r="C9" s="746"/>
      <c r="D9" s="750"/>
      <c r="E9" s="751"/>
      <c r="F9" s="752">
        <v>0</v>
      </c>
      <c r="G9" s="751"/>
      <c r="H9" s="752"/>
      <c r="I9" s="752"/>
      <c r="J9" s="752">
        <v>0</v>
      </c>
      <c r="K9" s="749">
        <v>0</v>
      </c>
      <c r="L9" s="752">
        <v>0</v>
      </c>
      <c r="M9" s="752">
        <v>0</v>
      </c>
      <c r="N9" s="724"/>
      <c r="O9" s="752">
        <v>0</v>
      </c>
      <c r="P9" s="752">
        <v>0</v>
      </c>
      <c r="Q9" s="752"/>
      <c r="R9" s="752"/>
      <c r="S9" s="752"/>
      <c r="T9" s="752"/>
      <c r="U9" s="752"/>
      <c r="V9" s="752"/>
      <c r="W9" s="726"/>
    </row>
    <row r="10" spans="1:23" ht="28.5" customHeight="1" x14ac:dyDescent="0.25">
      <c r="A10" s="745" t="s">
        <v>297</v>
      </c>
      <c r="B10" s="717">
        <f t="shared" si="0"/>
        <v>128.05000000000001</v>
      </c>
      <c r="C10" s="746"/>
      <c r="D10" s="750"/>
      <c r="E10" s="751"/>
      <c r="F10" s="752">
        <v>0</v>
      </c>
      <c r="G10" s="751"/>
      <c r="H10" s="752"/>
      <c r="I10" s="752"/>
      <c r="J10" s="752">
        <v>0</v>
      </c>
      <c r="K10" s="749">
        <v>0</v>
      </c>
      <c r="L10" s="752">
        <v>0</v>
      </c>
      <c r="M10" s="752">
        <v>0</v>
      </c>
      <c r="N10" s="724"/>
      <c r="O10" s="752">
        <v>0</v>
      </c>
      <c r="P10" s="752">
        <v>0</v>
      </c>
      <c r="Q10" s="752"/>
      <c r="R10" s="752"/>
      <c r="S10" s="752"/>
      <c r="T10" s="752"/>
      <c r="U10" s="752"/>
      <c r="V10" s="752">
        <v>128.05000000000001</v>
      </c>
      <c r="W10" s="726"/>
    </row>
    <row r="11" spans="1:23" ht="27" customHeight="1" x14ac:dyDescent="0.25">
      <c r="A11" s="745" t="s">
        <v>298</v>
      </c>
      <c r="B11" s="717">
        <f t="shared" si="0"/>
        <v>600943.6</v>
      </c>
      <c r="C11" s="746"/>
      <c r="D11" s="750">
        <v>4472</v>
      </c>
      <c r="E11" s="751"/>
      <c r="F11" s="752">
        <v>0</v>
      </c>
      <c r="G11" s="751"/>
      <c r="H11" s="752"/>
      <c r="I11" s="752"/>
      <c r="J11" s="752">
        <v>0</v>
      </c>
      <c r="K11" s="749">
        <v>0</v>
      </c>
      <c r="L11" s="752">
        <v>0</v>
      </c>
      <c r="M11" s="752">
        <v>0</v>
      </c>
      <c r="N11" s="724">
        <v>596471.6</v>
      </c>
      <c r="O11" s="752">
        <v>0</v>
      </c>
      <c r="P11" s="752">
        <v>0</v>
      </c>
      <c r="Q11" s="752"/>
      <c r="R11" s="752"/>
      <c r="S11" s="752"/>
      <c r="T11" s="752"/>
      <c r="U11" s="752"/>
      <c r="V11" s="752"/>
      <c r="W11" s="726"/>
    </row>
    <row r="12" spans="1:23" ht="26.25" customHeight="1" x14ac:dyDescent="0.25">
      <c r="A12" s="745" t="s">
        <v>299</v>
      </c>
      <c r="B12" s="717">
        <f t="shared" si="0"/>
        <v>0</v>
      </c>
      <c r="C12" s="746"/>
      <c r="D12" s="750"/>
      <c r="E12" s="751"/>
      <c r="F12" s="752">
        <v>0</v>
      </c>
      <c r="G12" s="751"/>
      <c r="H12" s="752"/>
      <c r="I12" s="752"/>
      <c r="J12" s="752">
        <v>0</v>
      </c>
      <c r="K12" s="749">
        <v>0</v>
      </c>
      <c r="L12" s="752">
        <v>0</v>
      </c>
      <c r="M12" s="752">
        <v>0</v>
      </c>
      <c r="N12" s="724"/>
      <c r="O12" s="752">
        <v>0</v>
      </c>
      <c r="P12" s="752">
        <v>0</v>
      </c>
      <c r="Q12" s="752"/>
      <c r="R12" s="752"/>
      <c r="S12" s="752"/>
      <c r="T12" s="752"/>
      <c r="U12" s="752"/>
      <c r="V12" s="752"/>
      <c r="W12" s="726"/>
    </row>
    <row r="13" spans="1:23" ht="26.25" customHeight="1" x14ac:dyDescent="0.25">
      <c r="A13" s="745" t="s">
        <v>300</v>
      </c>
      <c r="B13" s="717">
        <f t="shared" si="0"/>
        <v>0</v>
      </c>
      <c r="C13" s="746"/>
      <c r="D13" s="750"/>
      <c r="E13" s="751"/>
      <c r="F13" s="752">
        <v>0</v>
      </c>
      <c r="G13" s="751"/>
      <c r="H13" s="752"/>
      <c r="I13" s="752"/>
      <c r="J13" s="752">
        <v>0</v>
      </c>
      <c r="K13" s="749">
        <v>0</v>
      </c>
      <c r="L13" s="752">
        <v>0</v>
      </c>
      <c r="M13" s="752">
        <v>0</v>
      </c>
      <c r="N13" s="724"/>
      <c r="O13" s="752">
        <v>0</v>
      </c>
      <c r="P13" s="752">
        <v>0</v>
      </c>
      <c r="Q13" s="752"/>
      <c r="R13" s="752"/>
      <c r="S13" s="752"/>
      <c r="T13" s="752"/>
      <c r="U13" s="752"/>
      <c r="V13" s="752"/>
      <c r="W13" s="726"/>
    </row>
    <row r="14" spans="1:23" ht="28.5" customHeight="1" x14ac:dyDescent="0.25">
      <c r="A14" s="745" t="s">
        <v>301</v>
      </c>
      <c r="B14" s="717">
        <f t="shared" si="0"/>
        <v>3540</v>
      </c>
      <c r="C14" s="746"/>
      <c r="D14" s="750"/>
      <c r="E14" s="751"/>
      <c r="F14" s="752">
        <v>0</v>
      </c>
      <c r="G14" s="751"/>
      <c r="H14" s="752"/>
      <c r="I14" s="752"/>
      <c r="J14" s="752">
        <v>0</v>
      </c>
      <c r="K14" s="749">
        <v>0</v>
      </c>
      <c r="L14" s="752">
        <v>3540</v>
      </c>
      <c r="M14" s="752">
        <v>0</v>
      </c>
      <c r="N14" s="724"/>
      <c r="O14" s="752">
        <v>0</v>
      </c>
      <c r="P14" s="752">
        <v>0</v>
      </c>
      <c r="Q14" s="752"/>
      <c r="R14" s="752"/>
      <c r="S14" s="752"/>
      <c r="T14" s="752"/>
      <c r="U14" s="752"/>
      <c r="V14" s="752"/>
      <c r="W14" s="726"/>
    </row>
    <row r="15" spans="1:23" ht="21.75" customHeight="1" x14ac:dyDescent="0.25">
      <c r="A15" s="745" t="s">
        <v>302</v>
      </c>
      <c r="B15" s="717">
        <f t="shared" si="0"/>
        <v>59331.869999999995</v>
      </c>
      <c r="C15" s="746"/>
      <c r="D15" s="750">
        <v>45550.59</v>
      </c>
      <c r="E15" s="751"/>
      <c r="F15" s="752">
        <v>0</v>
      </c>
      <c r="G15" s="751"/>
      <c r="H15" s="752"/>
      <c r="I15" s="752"/>
      <c r="J15" s="752">
        <v>0</v>
      </c>
      <c r="K15" s="749">
        <v>0</v>
      </c>
      <c r="L15" s="752">
        <v>13781.28</v>
      </c>
      <c r="M15" s="752">
        <v>0</v>
      </c>
      <c r="N15" s="724"/>
      <c r="O15" s="752">
        <v>0</v>
      </c>
      <c r="P15" s="752">
        <v>0</v>
      </c>
      <c r="Q15" s="752"/>
      <c r="R15" s="752"/>
      <c r="S15" s="752"/>
      <c r="T15" s="752"/>
      <c r="U15" s="752"/>
      <c r="V15" s="752"/>
      <c r="W15" s="726"/>
    </row>
    <row r="16" spans="1:23" ht="27.75" customHeight="1" x14ac:dyDescent="0.25">
      <c r="A16" s="745" t="s">
        <v>303</v>
      </c>
      <c r="B16" s="717">
        <f t="shared" si="0"/>
        <v>0</v>
      </c>
      <c r="C16" s="746"/>
      <c r="D16" s="750"/>
      <c r="E16" s="751"/>
      <c r="F16" s="752">
        <v>0</v>
      </c>
      <c r="G16" s="751"/>
      <c r="H16" s="752"/>
      <c r="I16" s="752"/>
      <c r="J16" s="752">
        <v>0</v>
      </c>
      <c r="K16" s="749">
        <v>0</v>
      </c>
      <c r="L16" s="752">
        <v>0</v>
      </c>
      <c r="M16" s="752">
        <v>0</v>
      </c>
      <c r="N16" s="724"/>
      <c r="O16" s="752">
        <v>0</v>
      </c>
      <c r="P16" s="752">
        <v>0</v>
      </c>
      <c r="Q16" s="752"/>
      <c r="R16" s="752"/>
      <c r="S16" s="752"/>
      <c r="T16" s="752"/>
      <c r="U16" s="752"/>
      <c r="V16" s="752"/>
      <c r="W16" s="726"/>
    </row>
    <row r="17" spans="1:23" x14ac:dyDescent="0.25">
      <c r="A17" s="745" t="s">
        <v>304</v>
      </c>
      <c r="B17" s="717">
        <f t="shared" si="0"/>
        <v>134.95999999999998</v>
      </c>
      <c r="C17" s="746"/>
      <c r="D17" s="750">
        <v>28.05</v>
      </c>
      <c r="E17" s="751"/>
      <c r="F17" s="752">
        <v>0</v>
      </c>
      <c r="G17" s="751"/>
      <c r="H17" s="752"/>
      <c r="I17" s="752"/>
      <c r="J17" s="752">
        <v>0</v>
      </c>
      <c r="K17" s="749">
        <v>0</v>
      </c>
      <c r="L17" s="752">
        <v>106.71</v>
      </c>
      <c r="M17" s="752">
        <v>0</v>
      </c>
      <c r="N17" s="724"/>
      <c r="O17" s="752">
        <v>0</v>
      </c>
      <c r="P17" s="752">
        <v>0</v>
      </c>
      <c r="Q17" s="752"/>
      <c r="R17" s="752"/>
      <c r="S17" s="752"/>
      <c r="T17" s="752"/>
      <c r="U17" s="752"/>
      <c r="V17" s="752">
        <v>0.2</v>
      </c>
      <c r="W17" s="726"/>
    </row>
    <row r="18" spans="1:23" x14ac:dyDescent="0.25">
      <c r="A18" s="745" t="s">
        <v>305</v>
      </c>
      <c r="B18" s="717">
        <f t="shared" si="0"/>
        <v>0.94000000000000006</v>
      </c>
      <c r="C18" s="746"/>
      <c r="D18" s="750">
        <v>0.02</v>
      </c>
      <c r="E18" s="751">
        <v>0.02</v>
      </c>
      <c r="F18" s="752">
        <v>0</v>
      </c>
      <c r="G18" s="751"/>
      <c r="H18" s="752"/>
      <c r="I18" s="752"/>
      <c r="J18" s="752">
        <v>0</v>
      </c>
      <c r="K18" s="749">
        <v>0</v>
      </c>
      <c r="L18" s="752">
        <v>0</v>
      </c>
      <c r="M18" s="752">
        <v>0</v>
      </c>
      <c r="N18" s="724"/>
      <c r="O18" s="752">
        <v>0</v>
      </c>
      <c r="P18" s="752">
        <v>0</v>
      </c>
      <c r="Q18" s="752"/>
      <c r="R18" s="752">
        <v>0.9</v>
      </c>
      <c r="S18" s="752"/>
      <c r="T18" s="752"/>
      <c r="U18" s="752"/>
      <c r="V18" s="752"/>
      <c r="W18" s="726"/>
    </row>
    <row r="19" spans="1:23" x14ac:dyDescent="0.25">
      <c r="A19" s="745" t="s">
        <v>352</v>
      </c>
      <c r="B19" s="717">
        <f t="shared" si="0"/>
        <v>0</v>
      </c>
      <c r="C19" s="746"/>
      <c r="D19" s="750"/>
      <c r="E19" s="751"/>
      <c r="F19" s="752">
        <v>0</v>
      </c>
      <c r="G19" s="751"/>
      <c r="H19" s="752"/>
      <c r="I19" s="752"/>
      <c r="J19" s="752">
        <v>0</v>
      </c>
      <c r="K19" s="749">
        <v>0</v>
      </c>
      <c r="L19" s="752">
        <v>0</v>
      </c>
      <c r="M19" s="752">
        <v>0</v>
      </c>
      <c r="N19" s="724"/>
      <c r="O19" s="752">
        <v>0</v>
      </c>
      <c r="P19" s="752">
        <v>0</v>
      </c>
      <c r="Q19" s="752"/>
      <c r="R19" s="752"/>
      <c r="S19" s="752"/>
      <c r="T19" s="752"/>
      <c r="U19" s="752"/>
      <c r="V19" s="752"/>
      <c r="W19" s="726"/>
    </row>
    <row r="20" spans="1:23" x14ac:dyDescent="0.25">
      <c r="A20" s="745" t="s">
        <v>353</v>
      </c>
      <c r="B20" s="717">
        <f t="shared" si="0"/>
        <v>0</v>
      </c>
      <c r="C20" s="746"/>
      <c r="D20" s="750"/>
      <c r="E20" s="751"/>
      <c r="F20" s="752">
        <v>0</v>
      </c>
      <c r="G20" s="751"/>
      <c r="H20" s="752"/>
      <c r="I20" s="752"/>
      <c r="J20" s="752">
        <v>0</v>
      </c>
      <c r="K20" s="749">
        <v>0</v>
      </c>
      <c r="L20" s="752">
        <v>0</v>
      </c>
      <c r="M20" s="752">
        <v>0</v>
      </c>
      <c r="N20" s="724"/>
      <c r="O20" s="752">
        <v>0</v>
      </c>
      <c r="P20" s="752">
        <v>0</v>
      </c>
      <c r="Q20" s="752"/>
      <c r="R20" s="752"/>
      <c r="S20" s="752"/>
      <c r="T20" s="752"/>
      <c r="U20" s="752"/>
      <c r="V20" s="752"/>
      <c r="W20" s="726"/>
    </row>
    <row r="21" spans="1:23" x14ac:dyDescent="0.25">
      <c r="A21" s="745" t="s">
        <v>354</v>
      </c>
      <c r="B21" s="717">
        <f t="shared" si="0"/>
        <v>0</v>
      </c>
      <c r="C21" s="746"/>
      <c r="D21" s="750"/>
      <c r="E21" s="751"/>
      <c r="F21" s="752">
        <v>0</v>
      </c>
      <c r="G21" s="751"/>
      <c r="H21" s="752"/>
      <c r="I21" s="752">
        <v>0</v>
      </c>
      <c r="J21" s="752">
        <v>0</v>
      </c>
      <c r="K21" s="749">
        <v>0</v>
      </c>
      <c r="L21" s="752">
        <v>0</v>
      </c>
      <c r="M21" s="752">
        <v>0</v>
      </c>
      <c r="N21" s="724"/>
      <c r="O21" s="752">
        <v>0</v>
      </c>
      <c r="P21" s="752">
        <v>0</v>
      </c>
      <c r="Q21" s="752"/>
      <c r="R21" s="752"/>
      <c r="S21" s="752"/>
      <c r="T21" s="752"/>
      <c r="U21" s="752"/>
      <c r="V21" s="752"/>
      <c r="W21" s="726"/>
    </row>
    <row r="22" spans="1:23" x14ac:dyDescent="0.25">
      <c r="A22" s="745" t="s">
        <v>309</v>
      </c>
      <c r="B22" s="717">
        <f t="shared" si="0"/>
        <v>329434.98999999993</v>
      </c>
      <c r="C22" s="746"/>
      <c r="D22" s="750">
        <v>19414.169999999998</v>
      </c>
      <c r="E22" s="751">
        <f>233.25+2188.53</f>
        <v>2421.7800000000002</v>
      </c>
      <c r="F22" s="752">
        <v>10974</v>
      </c>
      <c r="G22" s="751">
        <v>68.88</v>
      </c>
      <c r="H22" s="752">
        <v>298</v>
      </c>
      <c r="I22" s="752">
        <v>2163.37</v>
      </c>
      <c r="J22" s="752">
        <v>0</v>
      </c>
      <c r="K22" s="749">
        <v>0</v>
      </c>
      <c r="L22" s="752">
        <v>252094.92</v>
      </c>
      <c r="M22" s="752">
        <v>251.75</v>
      </c>
      <c r="N22" s="724">
        <v>-504.96</v>
      </c>
      <c r="O22" s="752">
        <v>0</v>
      </c>
      <c r="P22" s="752">
        <v>428.6</v>
      </c>
      <c r="Q22" s="752">
        <v>9435.17</v>
      </c>
      <c r="R22" s="752">
        <v>10839.22</v>
      </c>
      <c r="S22" s="752"/>
      <c r="T22" s="752"/>
      <c r="U22" s="752">
        <v>38.07</v>
      </c>
      <c r="V22" s="752">
        <v>11984.89</v>
      </c>
      <c r="W22" s="726">
        <v>9527.1299999999992</v>
      </c>
    </row>
    <row r="23" spans="1:23" ht="45" x14ac:dyDescent="0.25">
      <c r="A23" s="745" t="s">
        <v>310</v>
      </c>
      <c r="B23" s="717">
        <f t="shared" si="0"/>
        <v>0</v>
      </c>
      <c r="C23" s="746"/>
      <c r="D23" s="750">
        <v>0</v>
      </c>
      <c r="E23" s="751"/>
      <c r="F23" s="752">
        <v>0</v>
      </c>
      <c r="G23" s="751"/>
      <c r="H23" s="752"/>
      <c r="I23" s="752">
        <v>0</v>
      </c>
      <c r="J23" s="752">
        <v>0</v>
      </c>
      <c r="K23" s="749">
        <v>0</v>
      </c>
      <c r="L23" s="752">
        <v>0</v>
      </c>
      <c r="M23" s="752">
        <v>0</v>
      </c>
      <c r="N23" s="724"/>
      <c r="O23" s="752">
        <v>0</v>
      </c>
      <c r="P23" s="752">
        <v>0</v>
      </c>
      <c r="Q23" s="752"/>
      <c r="R23" s="752"/>
      <c r="S23" s="752"/>
      <c r="T23" s="752"/>
      <c r="U23" s="752"/>
      <c r="V23" s="752"/>
      <c r="W23" s="726"/>
    </row>
    <row r="24" spans="1:23" ht="30" x14ac:dyDescent="0.25">
      <c r="A24" s="745" t="s">
        <v>488</v>
      </c>
      <c r="B24" s="717">
        <f t="shared" si="0"/>
        <v>0</v>
      </c>
      <c r="C24" s="746"/>
      <c r="D24" s="750"/>
      <c r="E24" s="751"/>
      <c r="F24" s="752">
        <v>0</v>
      </c>
      <c r="G24" s="751"/>
      <c r="H24" s="752"/>
      <c r="I24" s="752">
        <v>0</v>
      </c>
      <c r="J24" s="752">
        <v>0</v>
      </c>
      <c r="K24" s="749">
        <v>0</v>
      </c>
      <c r="L24" s="752">
        <v>0</v>
      </c>
      <c r="M24" s="752">
        <v>0</v>
      </c>
      <c r="N24" s="724"/>
      <c r="O24" s="752">
        <v>0</v>
      </c>
      <c r="P24" s="752">
        <v>0</v>
      </c>
      <c r="Q24" s="752"/>
      <c r="R24" s="752"/>
      <c r="S24" s="752"/>
      <c r="T24" s="752"/>
      <c r="U24" s="752"/>
      <c r="V24" s="752"/>
      <c r="W24" s="726"/>
    </row>
    <row r="25" spans="1:23" ht="30" x14ac:dyDescent="0.25">
      <c r="A25" s="745" t="s">
        <v>312</v>
      </c>
      <c r="B25" s="717">
        <f t="shared" si="0"/>
        <v>0</v>
      </c>
      <c r="C25" s="746"/>
      <c r="D25" s="750"/>
      <c r="E25" s="751"/>
      <c r="F25" s="752">
        <v>0</v>
      </c>
      <c r="G25" s="751"/>
      <c r="H25" s="752"/>
      <c r="I25" s="752">
        <v>0</v>
      </c>
      <c r="J25" s="752">
        <v>0</v>
      </c>
      <c r="K25" s="749">
        <v>0</v>
      </c>
      <c r="L25" s="752">
        <v>0</v>
      </c>
      <c r="M25" s="752">
        <v>0</v>
      </c>
      <c r="N25" s="724"/>
      <c r="O25" s="752">
        <v>0</v>
      </c>
      <c r="P25" s="752">
        <v>0</v>
      </c>
      <c r="Q25" s="752"/>
      <c r="R25" s="752"/>
      <c r="S25" s="752"/>
      <c r="T25" s="752"/>
      <c r="U25" s="752"/>
      <c r="V25" s="752"/>
      <c r="W25" s="726"/>
    </row>
    <row r="26" spans="1:23" ht="22.5" customHeight="1" x14ac:dyDescent="0.25">
      <c r="A26" s="745" t="s">
        <v>313</v>
      </c>
      <c r="B26" s="717">
        <f t="shared" si="0"/>
        <v>0</v>
      </c>
      <c r="C26" s="746"/>
      <c r="D26" s="750"/>
      <c r="E26" s="751"/>
      <c r="F26" s="752">
        <v>0</v>
      </c>
      <c r="G26" s="751"/>
      <c r="H26" s="752"/>
      <c r="I26" s="752">
        <v>0</v>
      </c>
      <c r="J26" s="752">
        <v>0</v>
      </c>
      <c r="K26" s="749">
        <v>0</v>
      </c>
      <c r="L26" s="752">
        <v>0</v>
      </c>
      <c r="M26" s="752">
        <v>0</v>
      </c>
      <c r="N26" s="724"/>
      <c r="O26" s="752">
        <v>0</v>
      </c>
      <c r="P26" s="752">
        <v>0</v>
      </c>
      <c r="Q26" s="752"/>
      <c r="R26" s="752"/>
      <c r="S26" s="752"/>
      <c r="T26" s="752"/>
      <c r="U26" s="752"/>
      <c r="V26" s="752"/>
      <c r="W26" s="726"/>
    </row>
    <row r="27" spans="1:23" ht="30" x14ac:dyDescent="0.25">
      <c r="A27" s="745" t="s">
        <v>314</v>
      </c>
      <c r="B27" s="717">
        <f t="shared" si="0"/>
        <v>0</v>
      </c>
      <c r="C27" s="746"/>
      <c r="D27" s="750"/>
      <c r="E27" s="751"/>
      <c r="F27" s="752">
        <v>0</v>
      </c>
      <c r="G27" s="751"/>
      <c r="H27" s="752"/>
      <c r="I27" s="752">
        <v>0</v>
      </c>
      <c r="J27" s="752">
        <v>0</v>
      </c>
      <c r="K27" s="749">
        <v>0</v>
      </c>
      <c r="L27" s="752">
        <v>0</v>
      </c>
      <c r="M27" s="752">
        <v>0</v>
      </c>
      <c r="N27" s="724"/>
      <c r="O27" s="752">
        <v>0</v>
      </c>
      <c r="P27" s="752">
        <v>0</v>
      </c>
      <c r="Q27" s="752"/>
      <c r="R27" s="752"/>
      <c r="S27" s="752"/>
      <c r="T27" s="752"/>
      <c r="U27" s="752"/>
      <c r="V27" s="752"/>
      <c r="W27" s="726"/>
    </row>
    <row r="28" spans="1:23" ht="23.25" customHeight="1" x14ac:dyDescent="0.25">
      <c r="A28" s="745" t="s">
        <v>329</v>
      </c>
      <c r="B28" s="717">
        <f t="shared" si="0"/>
        <v>240075.8</v>
      </c>
      <c r="C28" s="746"/>
      <c r="D28" s="750">
        <v>0</v>
      </c>
      <c r="E28" s="751"/>
      <c r="F28" s="752">
        <v>0</v>
      </c>
      <c r="G28" s="751"/>
      <c r="H28" s="752">
        <v>9801.8799999999992</v>
      </c>
      <c r="I28" s="752">
        <v>63799</v>
      </c>
      <c r="J28" s="752">
        <v>0</v>
      </c>
      <c r="K28" s="749">
        <v>2769.59</v>
      </c>
      <c r="L28" s="752">
        <v>0</v>
      </c>
      <c r="M28" s="752">
        <v>0</v>
      </c>
      <c r="N28" s="724"/>
      <c r="O28" s="752">
        <v>0</v>
      </c>
      <c r="P28" s="752">
        <v>66717</v>
      </c>
      <c r="Q28" s="752"/>
      <c r="R28" s="752">
        <v>46074</v>
      </c>
      <c r="S28" s="752"/>
      <c r="T28" s="752"/>
      <c r="U28" s="752"/>
      <c r="V28" s="752">
        <v>50914.33</v>
      </c>
      <c r="W28" s="726"/>
    </row>
    <row r="29" spans="1:23" ht="30" x14ac:dyDescent="0.25">
      <c r="A29" s="745" t="s">
        <v>316</v>
      </c>
      <c r="B29" s="717">
        <f t="shared" si="0"/>
        <v>0</v>
      </c>
      <c r="C29" s="746"/>
      <c r="D29" s="750"/>
      <c r="E29" s="751"/>
      <c r="F29" s="752">
        <v>0</v>
      </c>
      <c r="G29" s="751"/>
      <c r="H29" s="752"/>
      <c r="I29" s="752">
        <v>0</v>
      </c>
      <c r="J29" s="752">
        <v>0</v>
      </c>
      <c r="K29" s="749">
        <v>0</v>
      </c>
      <c r="L29" s="752">
        <v>0</v>
      </c>
      <c r="M29" s="752">
        <v>0</v>
      </c>
      <c r="N29" s="724"/>
      <c r="O29" s="752">
        <v>0</v>
      </c>
      <c r="P29" s="752">
        <v>0</v>
      </c>
      <c r="Q29" s="752"/>
      <c r="R29" s="752"/>
      <c r="S29" s="752"/>
      <c r="T29" s="752"/>
      <c r="U29" s="752"/>
      <c r="V29" s="752"/>
      <c r="W29" s="726"/>
    </row>
    <row r="30" spans="1:23" ht="21.75" customHeight="1" x14ac:dyDescent="0.25">
      <c r="A30" s="745" t="s">
        <v>489</v>
      </c>
      <c r="B30" s="717">
        <f t="shared" si="0"/>
        <v>1130</v>
      </c>
      <c r="C30" s="746"/>
      <c r="D30" s="750">
        <v>1130</v>
      </c>
      <c r="E30" s="751"/>
      <c r="F30" s="752">
        <v>0</v>
      </c>
      <c r="G30" s="751"/>
      <c r="H30" s="752"/>
      <c r="I30" s="752">
        <v>0</v>
      </c>
      <c r="J30" s="752">
        <v>0</v>
      </c>
      <c r="K30" s="749">
        <v>0</v>
      </c>
      <c r="L30" s="752">
        <v>0</v>
      </c>
      <c r="M30" s="752">
        <v>0</v>
      </c>
      <c r="N30" s="724"/>
      <c r="O30" s="752">
        <v>0</v>
      </c>
      <c r="P30" s="752">
        <v>0</v>
      </c>
      <c r="Q30" s="752"/>
      <c r="R30" s="752"/>
      <c r="S30" s="752"/>
      <c r="T30" s="752"/>
      <c r="U30" s="752"/>
      <c r="V30" s="752"/>
      <c r="W30" s="726"/>
    </row>
    <row r="31" spans="1:23" ht="30" x14ac:dyDescent="0.25">
      <c r="A31" s="745" t="s">
        <v>355</v>
      </c>
      <c r="B31" s="717">
        <f t="shared" si="0"/>
        <v>0</v>
      </c>
      <c r="C31" s="746"/>
      <c r="D31" s="750"/>
      <c r="E31" s="751"/>
      <c r="F31" s="752">
        <v>0</v>
      </c>
      <c r="G31" s="751"/>
      <c r="H31" s="752"/>
      <c r="I31" s="752">
        <v>0</v>
      </c>
      <c r="J31" s="752">
        <v>0</v>
      </c>
      <c r="K31" s="749">
        <v>0</v>
      </c>
      <c r="L31" s="752">
        <v>0</v>
      </c>
      <c r="M31" s="752">
        <v>0</v>
      </c>
      <c r="N31" s="724"/>
      <c r="O31" s="752">
        <v>0</v>
      </c>
      <c r="P31" s="752">
        <v>0</v>
      </c>
      <c r="Q31" s="752"/>
      <c r="R31" s="752"/>
      <c r="S31" s="752"/>
      <c r="T31" s="752"/>
      <c r="U31" s="752"/>
      <c r="V31" s="752"/>
      <c r="W31" s="726"/>
    </row>
    <row r="32" spans="1:23" ht="30" x14ac:dyDescent="0.25">
      <c r="A32" s="745" t="s">
        <v>319</v>
      </c>
      <c r="B32" s="717">
        <f t="shared" si="0"/>
        <v>0</v>
      </c>
      <c r="C32" s="746"/>
      <c r="D32" s="750"/>
      <c r="E32" s="751"/>
      <c r="F32" s="752">
        <v>0</v>
      </c>
      <c r="G32" s="751"/>
      <c r="H32" s="752"/>
      <c r="I32" s="752">
        <v>0</v>
      </c>
      <c r="J32" s="752">
        <v>0</v>
      </c>
      <c r="K32" s="749">
        <v>0</v>
      </c>
      <c r="L32" s="752">
        <v>0</v>
      </c>
      <c r="M32" s="752">
        <v>0</v>
      </c>
      <c r="N32" s="724"/>
      <c r="O32" s="752">
        <v>0</v>
      </c>
      <c r="P32" s="752">
        <v>0</v>
      </c>
      <c r="Q32" s="752"/>
      <c r="R32" s="752"/>
      <c r="S32" s="752"/>
      <c r="T32" s="752"/>
      <c r="U32" s="752"/>
      <c r="V32" s="752"/>
      <c r="W32" s="726"/>
    </row>
    <row r="33" spans="1:24" ht="30" x14ac:dyDescent="0.25">
      <c r="A33" s="745" t="s">
        <v>320</v>
      </c>
      <c r="B33" s="717">
        <f t="shared" si="0"/>
        <v>0</v>
      </c>
      <c r="C33" s="746"/>
      <c r="D33" s="750"/>
      <c r="E33" s="751"/>
      <c r="F33" s="752">
        <v>0</v>
      </c>
      <c r="G33" s="751"/>
      <c r="H33" s="752"/>
      <c r="I33" s="752">
        <v>0</v>
      </c>
      <c r="J33" s="752">
        <v>0</v>
      </c>
      <c r="K33" s="749">
        <v>0</v>
      </c>
      <c r="L33" s="752">
        <v>0</v>
      </c>
      <c r="M33" s="752">
        <v>0</v>
      </c>
      <c r="N33" s="724"/>
      <c r="O33" s="752">
        <v>0</v>
      </c>
      <c r="P33" s="752">
        <v>0</v>
      </c>
      <c r="Q33" s="752"/>
      <c r="R33" s="752"/>
      <c r="S33" s="752"/>
      <c r="T33" s="752"/>
      <c r="U33" s="752"/>
      <c r="V33" s="752"/>
      <c r="W33" s="726"/>
    </row>
    <row r="34" spans="1:24" ht="21" customHeight="1" x14ac:dyDescent="0.25">
      <c r="A34" s="745" t="s">
        <v>321</v>
      </c>
      <c r="B34" s="717">
        <f t="shared" si="0"/>
        <v>0</v>
      </c>
      <c r="C34" s="746"/>
      <c r="D34" s="753"/>
      <c r="E34" s="754"/>
      <c r="F34" s="755">
        <v>0</v>
      </c>
      <c r="G34" s="754"/>
      <c r="H34" s="755"/>
      <c r="I34" s="755">
        <v>0</v>
      </c>
      <c r="J34" s="755">
        <v>0</v>
      </c>
      <c r="K34" s="749">
        <v>0</v>
      </c>
      <c r="L34" s="755">
        <v>0</v>
      </c>
      <c r="M34" s="755">
        <v>0</v>
      </c>
      <c r="N34" s="724"/>
      <c r="O34" s="755">
        <v>0</v>
      </c>
      <c r="P34" s="755">
        <v>0</v>
      </c>
      <c r="Q34" s="755"/>
      <c r="R34" s="755"/>
      <c r="S34" s="755"/>
      <c r="T34" s="755"/>
      <c r="U34" s="755"/>
      <c r="V34" s="755"/>
      <c r="W34" s="730"/>
    </row>
    <row r="35" spans="1:24" ht="30" x14ac:dyDescent="0.25">
      <c r="A35" s="745" t="s">
        <v>322</v>
      </c>
      <c r="B35" s="717">
        <f t="shared" si="0"/>
        <v>0</v>
      </c>
      <c r="C35" s="746"/>
      <c r="D35" s="753"/>
      <c r="E35" s="754"/>
      <c r="F35" s="755">
        <v>0</v>
      </c>
      <c r="G35" s="754"/>
      <c r="H35" s="755"/>
      <c r="I35" s="755">
        <v>0</v>
      </c>
      <c r="J35" s="755">
        <v>0</v>
      </c>
      <c r="K35" s="749">
        <v>0</v>
      </c>
      <c r="L35" s="755">
        <v>0</v>
      </c>
      <c r="M35" s="755">
        <v>0</v>
      </c>
      <c r="N35" s="724"/>
      <c r="O35" s="755">
        <v>0</v>
      </c>
      <c r="P35" s="755">
        <v>0</v>
      </c>
      <c r="Q35" s="755"/>
      <c r="R35" s="755"/>
      <c r="S35" s="755"/>
      <c r="T35" s="755"/>
      <c r="U35" s="755"/>
      <c r="V35" s="755"/>
      <c r="W35" s="730"/>
    </row>
    <row r="36" spans="1:24" ht="30" x14ac:dyDescent="0.25">
      <c r="A36" s="745" t="s">
        <v>356</v>
      </c>
      <c r="B36" s="717">
        <f t="shared" si="0"/>
        <v>0</v>
      </c>
      <c r="C36" s="746"/>
      <c r="D36" s="753"/>
      <c r="E36" s="754"/>
      <c r="F36" s="755">
        <v>0</v>
      </c>
      <c r="G36" s="754"/>
      <c r="H36" s="755"/>
      <c r="I36" s="755">
        <v>0</v>
      </c>
      <c r="J36" s="755">
        <v>0</v>
      </c>
      <c r="K36" s="749">
        <v>0</v>
      </c>
      <c r="L36" s="755">
        <v>0</v>
      </c>
      <c r="M36" s="755">
        <v>0</v>
      </c>
      <c r="N36" s="724"/>
      <c r="O36" s="755">
        <v>0</v>
      </c>
      <c r="P36" s="755">
        <v>0</v>
      </c>
      <c r="Q36" s="755"/>
      <c r="R36" s="755"/>
      <c r="S36" s="755"/>
      <c r="T36" s="755"/>
      <c r="U36" s="755"/>
      <c r="V36" s="755"/>
      <c r="W36" s="730"/>
    </row>
    <row r="37" spans="1:24" ht="16.5" thickBot="1" x14ac:dyDescent="0.3">
      <c r="A37" s="745" t="s">
        <v>357</v>
      </c>
      <c r="B37" s="756">
        <f t="shared" si="0"/>
        <v>23309036.869999997</v>
      </c>
      <c r="C37" s="746"/>
      <c r="D37" s="753">
        <v>5948277.2800000003</v>
      </c>
      <c r="E37" s="754">
        <v>760636.43</v>
      </c>
      <c r="F37" s="755">
        <v>1100565</v>
      </c>
      <c r="G37" s="755">
        <v>195154</v>
      </c>
      <c r="H37" s="754">
        <v>343734.1</v>
      </c>
      <c r="I37" s="755">
        <v>784095.16</v>
      </c>
      <c r="J37" s="755">
        <v>1260146</v>
      </c>
      <c r="K37" s="755">
        <v>103471.85</v>
      </c>
      <c r="L37" s="755">
        <v>2844856.07</v>
      </c>
      <c r="M37" s="755">
        <v>3020459</v>
      </c>
      <c r="N37" s="755">
        <v>2253504.48</v>
      </c>
      <c r="O37" s="755">
        <v>108688</v>
      </c>
      <c r="P37" s="755">
        <v>1283955.8700000001</v>
      </c>
      <c r="Q37" s="755">
        <v>1875543.63</v>
      </c>
      <c r="R37" s="755">
        <v>714337</v>
      </c>
      <c r="S37" s="755">
        <v>1306</v>
      </c>
      <c r="T37" s="755">
        <v>2493</v>
      </c>
      <c r="U37" s="755">
        <v>45653</v>
      </c>
      <c r="V37" s="755">
        <v>302522</v>
      </c>
      <c r="W37" s="730">
        <v>359639</v>
      </c>
    </row>
    <row r="38" spans="1:24" ht="16.5" thickBot="1" x14ac:dyDescent="0.3">
      <c r="A38" s="757" t="s">
        <v>291</v>
      </c>
      <c r="B38" s="758">
        <f>SUM(B3:B37)</f>
        <v>52789299.600000001</v>
      </c>
      <c r="C38" s="718"/>
      <c r="D38" s="731">
        <f>SUM(D3:D37)</f>
        <v>14619355.960000001</v>
      </c>
      <c r="E38" s="731">
        <f t="shared" ref="E38:W38" si="1">SUM(E3:E37)</f>
        <v>1614733.71</v>
      </c>
      <c r="F38" s="731">
        <f t="shared" si="1"/>
        <v>2065590</v>
      </c>
      <c r="G38" s="731">
        <f t="shared" si="1"/>
        <v>268646.09000000003</v>
      </c>
      <c r="H38" s="731">
        <f t="shared" si="1"/>
        <v>799694.72</v>
      </c>
      <c r="I38" s="731">
        <f t="shared" si="1"/>
        <v>1683337.22</v>
      </c>
      <c r="J38" s="731">
        <f t="shared" si="1"/>
        <v>1275000.7</v>
      </c>
      <c r="K38" s="731">
        <f t="shared" si="1"/>
        <v>106241.44</v>
      </c>
      <c r="L38" s="731">
        <f t="shared" si="1"/>
        <v>8161173.379999999</v>
      </c>
      <c r="M38" s="731">
        <f t="shared" si="1"/>
        <v>7332681.1100000003</v>
      </c>
      <c r="N38" s="731">
        <f t="shared" si="1"/>
        <v>5268103.53</v>
      </c>
      <c r="O38" s="731">
        <f t="shared" si="1"/>
        <v>206727.31</v>
      </c>
      <c r="P38" s="731">
        <f t="shared" si="1"/>
        <v>3858793.7600000002</v>
      </c>
      <c r="Q38" s="731">
        <f t="shared" si="1"/>
        <v>2559126.7999999998</v>
      </c>
      <c r="R38" s="731">
        <f t="shared" si="1"/>
        <v>1609409.0699999998</v>
      </c>
      <c r="S38" s="731">
        <f t="shared" si="1"/>
        <v>1306</v>
      </c>
      <c r="T38" s="731">
        <f t="shared" si="1"/>
        <v>2493</v>
      </c>
      <c r="U38" s="731">
        <f t="shared" si="1"/>
        <v>93025.61</v>
      </c>
      <c r="V38" s="731">
        <f t="shared" si="1"/>
        <v>634092.43999999994</v>
      </c>
      <c r="W38" s="731">
        <f t="shared" si="1"/>
        <v>629767.75</v>
      </c>
      <c r="X38" s="422"/>
    </row>
    <row r="39" spans="1:24" x14ac:dyDescent="0.25">
      <c r="W39" s="460" t="s">
        <v>497</v>
      </c>
    </row>
    <row r="40" spans="1:24" x14ac:dyDescent="0.25">
      <c r="B40" s="422"/>
      <c r="P40" s="422"/>
    </row>
  </sheetData>
  <mergeCells count="1">
    <mergeCell ref="A1:B1"/>
  </mergeCells>
  <pageMargins left="0.31496062992125984" right="0" top="0.15748031496062992" bottom="0" header="0.31496062992125984" footer="0.31496062992125984"/>
  <pageSetup paperSize="9" scale="60" orientation="landscape" r:id="rId1"/>
  <headerFoot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24"/>
  <sheetViews>
    <sheetView workbookViewId="0">
      <selection sqref="A1:D1"/>
    </sheetView>
  </sheetViews>
  <sheetFormatPr defaultRowHeight="15" x14ac:dyDescent="0.25"/>
  <cols>
    <col min="1" max="1" width="17.5703125" style="403" customWidth="1"/>
    <col min="2" max="2" width="23.28515625" style="403" customWidth="1"/>
    <col min="3" max="3" width="24" style="403" customWidth="1"/>
    <col min="4" max="4" width="22.5703125" style="403" customWidth="1"/>
    <col min="5" max="5" width="13" style="403" customWidth="1"/>
    <col min="6" max="16384" width="9.140625" style="403"/>
  </cols>
  <sheetData>
    <row r="1" spans="1:5" ht="83.25" customHeight="1" thickBot="1" x14ac:dyDescent="0.3">
      <c r="A1" s="1083" t="s">
        <v>558</v>
      </c>
      <c r="B1" s="1083"/>
      <c r="C1" s="1083"/>
      <c r="D1" s="1083"/>
    </row>
    <row r="2" spans="1:5" ht="63" customHeight="1" thickBot="1" x14ac:dyDescent="0.3">
      <c r="A2" s="795" t="s">
        <v>47</v>
      </c>
      <c r="B2" s="712" t="s">
        <v>358</v>
      </c>
      <c r="C2" s="712" t="s">
        <v>359</v>
      </c>
      <c r="D2" s="712" t="s">
        <v>346</v>
      </c>
    </row>
    <row r="3" spans="1:5" ht="21" customHeight="1" x14ac:dyDescent="0.25">
      <c r="A3" s="917" t="s">
        <v>25</v>
      </c>
      <c r="B3" s="921">
        <v>14619355.960000001</v>
      </c>
      <c r="C3" s="921">
        <v>12393963.389999997</v>
      </c>
      <c r="D3" s="760">
        <f t="shared" ref="D3:D22" si="0">B3-C3</f>
        <v>2225392.570000004</v>
      </c>
    </row>
    <row r="4" spans="1:5" ht="21" customHeight="1" x14ac:dyDescent="0.25">
      <c r="A4" s="918" t="s">
        <v>33</v>
      </c>
      <c r="B4" s="922">
        <v>1614733.71</v>
      </c>
      <c r="C4" s="922">
        <v>1320384.1200000003</v>
      </c>
      <c r="D4" s="761">
        <f t="shared" si="0"/>
        <v>294349.58999999962</v>
      </c>
      <c r="E4" s="79"/>
    </row>
    <row r="5" spans="1:5" ht="21" customHeight="1" x14ac:dyDescent="0.25">
      <c r="A5" s="918" t="s">
        <v>31</v>
      </c>
      <c r="B5" s="922">
        <v>2065590</v>
      </c>
      <c r="C5" s="922">
        <v>2086489.0400000003</v>
      </c>
      <c r="D5" s="761">
        <f t="shared" si="0"/>
        <v>-20899.04000000027</v>
      </c>
      <c r="E5" s="79"/>
    </row>
    <row r="6" spans="1:5" ht="21" customHeight="1" x14ac:dyDescent="0.25">
      <c r="A6" s="918" t="s">
        <v>36</v>
      </c>
      <c r="B6" s="922">
        <v>268646.09000000003</v>
      </c>
      <c r="C6" s="922">
        <v>227537.97</v>
      </c>
      <c r="D6" s="761">
        <f t="shared" si="0"/>
        <v>41108.120000000024</v>
      </c>
      <c r="E6" s="79"/>
    </row>
    <row r="7" spans="1:5" ht="21" customHeight="1" x14ac:dyDescent="0.25">
      <c r="A7" s="918" t="s">
        <v>111</v>
      </c>
      <c r="B7" s="922">
        <v>799694.72</v>
      </c>
      <c r="C7" s="922">
        <v>1266107.5</v>
      </c>
      <c r="D7" s="761">
        <f t="shared" si="0"/>
        <v>-466412.78</v>
      </c>
    </row>
    <row r="8" spans="1:5" ht="21" customHeight="1" x14ac:dyDescent="0.25">
      <c r="A8" s="918" t="s">
        <v>30</v>
      </c>
      <c r="B8" s="922">
        <v>1683337.22</v>
      </c>
      <c r="C8" s="922">
        <v>1368184.6900000004</v>
      </c>
      <c r="D8" s="761">
        <f t="shared" si="0"/>
        <v>315152.52999999956</v>
      </c>
      <c r="E8" s="79"/>
    </row>
    <row r="9" spans="1:5" ht="34.5" customHeight="1" x14ac:dyDescent="0.25">
      <c r="A9" s="918" t="s">
        <v>172</v>
      </c>
      <c r="B9" s="922">
        <v>1275000.7</v>
      </c>
      <c r="C9" s="922">
        <v>945590.20999999985</v>
      </c>
      <c r="D9" s="761">
        <f t="shared" si="0"/>
        <v>329410.49000000011</v>
      </c>
      <c r="E9" s="79"/>
    </row>
    <row r="10" spans="1:5" ht="21" customHeight="1" x14ac:dyDescent="0.25">
      <c r="A10" s="918" t="s">
        <v>34</v>
      </c>
      <c r="B10" s="922">
        <v>106241.44</v>
      </c>
      <c r="C10" s="922">
        <v>106241.44</v>
      </c>
      <c r="D10" s="761">
        <f t="shared" si="0"/>
        <v>0</v>
      </c>
      <c r="E10" s="79"/>
    </row>
    <row r="11" spans="1:5" ht="21" customHeight="1" x14ac:dyDescent="0.25">
      <c r="A11" s="918" t="s">
        <v>26</v>
      </c>
      <c r="B11" s="922">
        <v>8161173.379999999</v>
      </c>
      <c r="C11" s="922">
        <v>8352747.8199999984</v>
      </c>
      <c r="D11" s="761">
        <f t="shared" si="0"/>
        <v>-191574.43999999948</v>
      </c>
      <c r="E11" s="79"/>
    </row>
    <row r="12" spans="1:5" ht="21" customHeight="1" x14ac:dyDescent="0.25">
      <c r="A12" s="918" t="s">
        <v>27</v>
      </c>
      <c r="B12" s="922">
        <v>7332681.1100000003</v>
      </c>
      <c r="C12" s="922">
        <v>7201142.2999999989</v>
      </c>
      <c r="D12" s="761">
        <f t="shared" si="0"/>
        <v>131538.81000000145</v>
      </c>
      <c r="E12" s="79"/>
    </row>
    <row r="13" spans="1:5" ht="21" customHeight="1" x14ac:dyDescent="0.25">
      <c r="A13" s="919" t="s">
        <v>49</v>
      </c>
      <c r="B13" s="922">
        <v>5268103.53</v>
      </c>
      <c r="C13" s="922">
        <v>4355851.99</v>
      </c>
      <c r="D13" s="761">
        <f t="shared" si="0"/>
        <v>912251.54</v>
      </c>
      <c r="E13" s="79"/>
    </row>
    <row r="14" spans="1:5" ht="21" customHeight="1" x14ac:dyDescent="0.25">
      <c r="A14" s="919" t="s">
        <v>386</v>
      </c>
      <c r="B14" s="922">
        <v>206727.31</v>
      </c>
      <c r="C14" s="922">
        <v>128093.76000000001</v>
      </c>
      <c r="D14" s="761">
        <f t="shared" si="0"/>
        <v>78633.549999999988</v>
      </c>
      <c r="E14" s="79"/>
    </row>
    <row r="15" spans="1:5" ht="21" customHeight="1" x14ac:dyDescent="0.25">
      <c r="A15" s="919" t="s">
        <v>29</v>
      </c>
      <c r="B15" s="922">
        <v>3858793.7600000002</v>
      </c>
      <c r="C15" s="922">
        <v>3841662.5599999996</v>
      </c>
      <c r="D15" s="761">
        <f t="shared" si="0"/>
        <v>17131.200000000652</v>
      </c>
      <c r="E15" s="79"/>
    </row>
    <row r="16" spans="1:5" ht="21" customHeight="1" x14ac:dyDescent="0.25">
      <c r="A16" s="919" t="s">
        <v>32</v>
      </c>
      <c r="B16" s="922">
        <v>2559126.7999999998</v>
      </c>
      <c r="C16" s="922">
        <v>1569716.1100000003</v>
      </c>
      <c r="D16" s="761">
        <f t="shared" si="0"/>
        <v>989410.68999999948</v>
      </c>
      <c r="E16" s="79"/>
    </row>
    <row r="17" spans="1:4" ht="21" customHeight="1" x14ac:dyDescent="0.25">
      <c r="A17" s="919" t="s">
        <v>38</v>
      </c>
      <c r="B17" s="922">
        <v>1609409.0699999998</v>
      </c>
      <c r="C17" s="922">
        <v>2333410.2000000002</v>
      </c>
      <c r="D17" s="761">
        <f t="shared" si="0"/>
        <v>-724001.13000000035</v>
      </c>
    </row>
    <row r="18" spans="1:4" ht="21" customHeight="1" x14ac:dyDescent="0.25">
      <c r="A18" s="919" t="s">
        <v>43</v>
      </c>
      <c r="B18" s="922">
        <v>1306</v>
      </c>
      <c r="C18" s="922">
        <v>1306</v>
      </c>
      <c r="D18" s="761">
        <f t="shared" si="0"/>
        <v>0</v>
      </c>
    </row>
    <row r="19" spans="1:4" ht="21" customHeight="1" x14ac:dyDescent="0.25">
      <c r="A19" s="919" t="s">
        <v>45</v>
      </c>
      <c r="B19" s="922">
        <v>2493</v>
      </c>
      <c r="C19" s="922">
        <v>2492.54</v>
      </c>
      <c r="D19" s="761">
        <f t="shared" si="0"/>
        <v>0.46000000000003638</v>
      </c>
    </row>
    <row r="20" spans="1:4" ht="32.25" customHeight="1" x14ac:dyDescent="0.25">
      <c r="A20" s="918" t="s">
        <v>173</v>
      </c>
      <c r="B20" s="922">
        <v>93025.61</v>
      </c>
      <c r="C20" s="922">
        <v>69898.390000000014</v>
      </c>
      <c r="D20" s="761">
        <f t="shared" si="0"/>
        <v>23127.219999999987</v>
      </c>
    </row>
    <row r="21" spans="1:4" ht="21" customHeight="1" x14ac:dyDescent="0.25">
      <c r="A21" s="919" t="s">
        <v>35</v>
      </c>
      <c r="B21" s="922">
        <v>634092.43999999994</v>
      </c>
      <c r="C21" s="922">
        <v>587938.24</v>
      </c>
      <c r="D21" s="761">
        <f t="shared" si="0"/>
        <v>46154.199999999953</v>
      </c>
    </row>
    <row r="22" spans="1:4" ht="21" customHeight="1" thickBot="1" x14ac:dyDescent="0.3">
      <c r="A22" s="920" t="s">
        <v>42</v>
      </c>
      <c r="B22" s="923">
        <v>629767.75</v>
      </c>
      <c r="C22" s="923">
        <v>962814.54</v>
      </c>
      <c r="D22" s="762">
        <f t="shared" si="0"/>
        <v>-333046.79000000004</v>
      </c>
    </row>
    <row r="23" spans="1:4" ht="30.75" customHeight="1" thickBot="1" x14ac:dyDescent="0.3">
      <c r="A23" s="925" t="s">
        <v>18</v>
      </c>
      <c r="B23" s="924">
        <f>SUM(B3:B22)</f>
        <v>52789299.599999994</v>
      </c>
      <c r="C23" s="924">
        <f>SUM(C3:C22)</f>
        <v>49121572.810000002</v>
      </c>
      <c r="D23" s="763">
        <f>SUM(D3:D22)</f>
        <v>3667726.7900000056</v>
      </c>
    </row>
    <row r="24" spans="1:4" x14ac:dyDescent="0.25">
      <c r="D24" s="460" t="s">
        <v>497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36"/>
  <sheetViews>
    <sheetView workbookViewId="0">
      <selection sqref="A1:M1"/>
    </sheetView>
  </sheetViews>
  <sheetFormatPr defaultRowHeight="15.75" x14ac:dyDescent="0.25"/>
  <cols>
    <col min="1" max="1" width="19.7109375" style="425" customWidth="1"/>
    <col min="2" max="2" width="17.140625" style="423" customWidth="1"/>
    <col min="3" max="3" width="17.5703125" style="423" customWidth="1"/>
    <col min="4" max="4" width="15.85546875" style="423" customWidth="1"/>
    <col min="5" max="5" width="13.85546875" style="423" customWidth="1"/>
    <col min="6" max="6" width="12.42578125" style="423" customWidth="1"/>
    <col min="7" max="7" width="16" style="423" customWidth="1"/>
    <col min="8" max="8" width="16.28515625" style="423" customWidth="1"/>
    <col min="9" max="9" width="17.85546875" style="423" customWidth="1"/>
    <col min="10" max="10" width="14.85546875" style="423" customWidth="1"/>
    <col min="11" max="11" width="14" style="423" customWidth="1"/>
    <col min="12" max="12" width="14.85546875" style="423" customWidth="1"/>
    <col min="13" max="13" width="17" style="423" customWidth="1"/>
    <col min="14" max="16384" width="9.140625" style="423"/>
  </cols>
  <sheetData>
    <row r="1" spans="1:13" ht="39.75" customHeight="1" thickBot="1" x14ac:dyDescent="0.3">
      <c r="A1" s="1084" t="s">
        <v>491</v>
      </c>
      <c r="B1" s="1084"/>
      <c r="C1" s="1084"/>
      <c r="D1" s="1084"/>
      <c r="E1" s="1084"/>
      <c r="F1" s="1084"/>
      <c r="G1" s="1084"/>
      <c r="H1" s="1084"/>
      <c r="I1" s="1084"/>
      <c r="J1" s="1084"/>
      <c r="K1" s="1084"/>
      <c r="L1" s="1084"/>
      <c r="M1" s="1084"/>
    </row>
    <row r="2" spans="1:13" ht="26.25" customHeight="1" thickBot="1" x14ac:dyDescent="0.3">
      <c r="A2" s="1088" t="s">
        <v>47</v>
      </c>
      <c r="B2" s="1085" t="s">
        <v>360</v>
      </c>
      <c r="C2" s="1086"/>
      <c r="D2" s="1086"/>
      <c r="E2" s="1086"/>
      <c r="F2" s="1086"/>
      <c r="G2" s="1087"/>
      <c r="H2" s="1085" t="s">
        <v>490</v>
      </c>
      <c r="I2" s="1086"/>
      <c r="J2" s="1086"/>
      <c r="K2" s="1086"/>
      <c r="L2" s="1086"/>
      <c r="M2" s="1087"/>
    </row>
    <row r="3" spans="1:13" ht="150.75" customHeight="1" thickBot="1" x14ac:dyDescent="0.3">
      <c r="A3" s="1089"/>
      <c r="B3" s="767" t="s">
        <v>361</v>
      </c>
      <c r="C3" s="768" t="s">
        <v>532</v>
      </c>
      <c r="D3" s="768" t="s">
        <v>362</v>
      </c>
      <c r="E3" s="768" t="s">
        <v>363</v>
      </c>
      <c r="F3" s="768" t="s">
        <v>364</v>
      </c>
      <c r="G3" s="769" t="s">
        <v>18</v>
      </c>
      <c r="H3" s="767" t="s">
        <v>361</v>
      </c>
      <c r="I3" s="768" t="s">
        <v>532</v>
      </c>
      <c r="J3" s="768" t="s">
        <v>362</v>
      </c>
      <c r="K3" s="768" t="s">
        <v>363</v>
      </c>
      <c r="L3" s="768" t="s">
        <v>364</v>
      </c>
      <c r="M3" s="769" t="s">
        <v>18</v>
      </c>
    </row>
    <row r="4" spans="1:13" ht="21" customHeight="1" x14ac:dyDescent="0.25">
      <c r="A4" s="764" t="s">
        <v>25</v>
      </c>
      <c r="B4" s="770">
        <v>32430774.969999999</v>
      </c>
      <c r="C4" s="771">
        <v>9955161.1699999999</v>
      </c>
      <c r="D4" s="771">
        <v>7996442.1500000004</v>
      </c>
      <c r="E4" s="771">
        <v>1498487.38</v>
      </c>
      <c r="F4" s="771">
        <v>9318104.1899999995</v>
      </c>
      <c r="G4" s="772">
        <v>61198969.859999999</v>
      </c>
      <c r="H4" s="773">
        <v>31769323.620000001</v>
      </c>
      <c r="I4" s="774">
        <v>18097561.52</v>
      </c>
      <c r="J4" s="774">
        <v>7657448.8499999996</v>
      </c>
      <c r="K4" s="774">
        <v>1021219.67</v>
      </c>
      <c r="L4" s="774">
        <v>10916713.689999999</v>
      </c>
      <c r="M4" s="775">
        <v>69462267.350000009</v>
      </c>
    </row>
    <row r="5" spans="1:13" ht="21" customHeight="1" x14ac:dyDescent="0.25">
      <c r="A5" s="765" t="s">
        <v>33</v>
      </c>
      <c r="B5" s="776">
        <v>13878733.76</v>
      </c>
      <c r="C5" s="777">
        <v>6819987.9900000002</v>
      </c>
      <c r="D5" s="777">
        <v>869754.08</v>
      </c>
      <c r="E5" s="777">
        <v>311245.26</v>
      </c>
      <c r="F5" s="777">
        <v>593487.81999999995</v>
      </c>
      <c r="G5" s="778">
        <v>22473208.91</v>
      </c>
      <c r="H5" s="776">
        <v>13246580.139999999</v>
      </c>
      <c r="I5" s="777">
        <v>12063070.4</v>
      </c>
      <c r="J5" s="777">
        <v>659952.43000000005</v>
      </c>
      <c r="K5" s="777">
        <v>302354.74</v>
      </c>
      <c r="L5" s="777">
        <v>1618940.22</v>
      </c>
      <c r="M5" s="778">
        <v>27890897.929999996</v>
      </c>
    </row>
    <row r="6" spans="1:13" ht="21" customHeight="1" x14ac:dyDescent="0.25">
      <c r="A6" s="765" t="s">
        <v>31</v>
      </c>
      <c r="B6" s="776">
        <v>10357087.74</v>
      </c>
      <c r="C6" s="777">
        <v>7995753.2199999997</v>
      </c>
      <c r="D6" s="777">
        <v>2042616.85</v>
      </c>
      <c r="E6" s="777">
        <v>38030.36</v>
      </c>
      <c r="F6" s="777">
        <v>295796.36</v>
      </c>
      <c r="G6" s="778">
        <v>20729284.530000001</v>
      </c>
      <c r="H6" s="776">
        <v>10465582.699999999</v>
      </c>
      <c r="I6" s="777">
        <v>9226397.8499999996</v>
      </c>
      <c r="J6" s="777">
        <v>265546.13</v>
      </c>
      <c r="K6" s="777">
        <v>198011.51</v>
      </c>
      <c r="L6" s="777">
        <v>0</v>
      </c>
      <c r="M6" s="778">
        <v>20155538.189999998</v>
      </c>
    </row>
    <row r="7" spans="1:13" ht="21" customHeight="1" x14ac:dyDescent="0.25">
      <c r="A7" s="765" t="s">
        <v>36</v>
      </c>
      <c r="B7" s="776">
        <v>3487409.85</v>
      </c>
      <c r="C7" s="777">
        <v>687054.76</v>
      </c>
      <c r="D7" s="777">
        <v>180037.98</v>
      </c>
      <c r="E7" s="777">
        <v>23878.68</v>
      </c>
      <c r="F7" s="777">
        <v>0</v>
      </c>
      <c r="G7" s="778">
        <v>4378381.2700000005</v>
      </c>
      <c r="H7" s="776">
        <v>3446936.69</v>
      </c>
      <c r="I7" s="777">
        <v>7394288.96</v>
      </c>
      <c r="J7" s="777">
        <v>14481.59</v>
      </c>
      <c r="K7" s="777">
        <v>63652.21</v>
      </c>
      <c r="L7" s="777">
        <v>91.67</v>
      </c>
      <c r="M7" s="778">
        <v>10919451.120000001</v>
      </c>
    </row>
    <row r="8" spans="1:13" ht="21" customHeight="1" x14ac:dyDescent="0.25">
      <c r="A8" s="765" t="s">
        <v>111</v>
      </c>
      <c r="B8" s="776">
        <v>5847028.1500000004</v>
      </c>
      <c r="C8" s="777">
        <v>5588474.8399999999</v>
      </c>
      <c r="D8" s="777">
        <v>227600</v>
      </c>
      <c r="E8" s="777">
        <v>28125.16</v>
      </c>
      <c r="F8" s="777">
        <v>142703.20000000001</v>
      </c>
      <c r="G8" s="778">
        <v>11833931.35</v>
      </c>
      <c r="H8" s="776">
        <v>6306524.9299999997</v>
      </c>
      <c r="I8" s="777">
        <v>4997002.3899999997</v>
      </c>
      <c r="J8" s="777">
        <v>0</v>
      </c>
      <c r="K8" s="777">
        <v>30762.23</v>
      </c>
      <c r="L8" s="777">
        <v>154867.35</v>
      </c>
      <c r="M8" s="778">
        <v>11489156.9</v>
      </c>
    </row>
    <row r="9" spans="1:13" ht="21" customHeight="1" x14ac:dyDescent="0.25">
      <c r="A9" s="765" t="s">
        <v>30</v>
      </c>
      <c r="B9" s="776">
        <v>17094250.550000001</v>
      </c>
      <c r="C9" s="777">
        <v>2674901.88</v>
      </c>
      <c r="D9" s="777">
        <v>673433.38</v>
      </c>
      <c r="E9" s="777">
        <v>87817.04</v>
      </c>
      <c r="F9" s="777">
        <v>3322901.11</v>
      </c>
      <c r="G9" s="778">
        <v>23853303.959999997</v>
      </c>
      <c r="H9" s="776">
        <v>16738930.91</v>
      </c>
      <c r="I9" s="777">
        <v>3821680.57</v>
      </c>
      <c r="J9" s="777">
        <v>2009890.73</v>
      </c>
      <c r="K9" s="777">
        <v>218101.91</v>
      </c>
      <c r="L9" s="777">
        <v>4187402.04</v>
      </c>
      <c r="M9" s="778">
        <v>26976006.16</v>
      </c>
    </row>
    <row r="10" spans="1:13" ht="38.25" customHeight="1" x14ac:dyDescent="0.25">
      <c r="A10" s="765" t="s">
        <v>172</v>
      </c>
      <c r="B10" s="776">
        <v>8715480.4199999999</v>
      </c>
      <c r="C10" s="777">
        <v>2543556.39</v>
      </c>
      <c r="D10" s="777">
        <v>924099.82</v>
      </c>
      <c r="E10" s="777">
        <v>170688.1</v>
      </c>
      <c r="F10" s="777">
        <v>279075.76</v>
      </c>
      <c r="G10" s="778">
        <v>12632900.49</v>
      </c>
      <c r="H10" s="776">
        <v>8712900.2200000007</v>
      </c>
      <c r="I10" s="777">
        <v>4247424.2</v>
      </c>
      <c r="J10" s="777">
        <v>594944.62</v>
      </c>
      <c r="K10" s="777">
        <v>220040.34</v>
      </c>
      <c r="L10" s="777">
        <v>188539.32</v>
      </c>
      <c r="M10" s="778">
        <v>13963848.700000001</v>
      </c>
    </row>
    <row r="11" spans="1:13" ht="21" customHeight="1" x14ac:dyDescent="0.25">
      <c r="A11" s="765" t="s">
        <v>34</v>
      </c>
      <c r="B11" s="776">
        <v>11571043.720000001</v>
      </c>
      <c r="C11" s="777">
        <v>5483603.1500000004</v>
      </c>
      <c r="D11" s="777">
        <v>622961.73</v>
      </c>
      <c r="E11" s="777">
        <v>107256.41</v>
      </c>
      <c r="F11" s="777">
        <v>380773.14</v>
      </c>
      <c r="G11" s="778">
        <v>18165638.150000002</v>
      </c>
      <c r="H11" s="776">
        <v>10347185.59</v>
      </c>
      <c r="I11" s="777">
        <v>8046722.8799999999</v>
      </c>
      <c r="J11" s="777">
        <v>544526.42000000004</v>
      </c>
      <c r="K11" s="777">
        <v>157194.62</v>
      </c>
      <c r="L11" s="777">
        <v>387833.75</v>
      </c>
      <c r="M11" s="778">
        <v>19483463.260000002</v>
      </c>
    </row>
    <row r="12" spans="1:13" ht="21" customHeight="1" x14ac:dyDescent="0.25">
      <c r="A12" s="765" t="s">
        <v>26</v>
      </c>
      <c r="B12" s="779">
        <v>37378452.369999997</v>
      </c>
      <c r="C12" s="780">
        <v>12123267.35</v>
      </c>
      <c r="D12" s="780">
        <v>5112363.53</v>
      </c>
      <c r="E12" s="780">
        <v>2635309.92</v>
      </c>
      <c r="F12" s="780">
        <v>3538790.74</v>
      </c>
      <c r="G12" s="781">
        <v>60788183.910000004</v>
      </c>
      <c r="H12" s="779">
        <v>36784118.479999997</v>
      </c>
      <c r="I12" s="780">
        <v>18782046.280000001</v>
      </c>
      <c r="J12" s="780">
        <v>5675488.5700000003</v>
      </c>
      <c r="K12" s="780">
        <v>3070005.23</v>
      </c>
      <c r="L12" s="780">
        <v>3205807.88</v>
      </c>
      <c r="M12" s="781">
        <v>67517466.439999998</v>
      </c>
    </row>
    <row r="13" spans="1:13" ht="21" customHeight="1" x14ac:dyDescent="0.25">
      <c r="A13" s="765" t="s">
        <v>27</v>
      </c>
      <c r="B13" s="782">
        <v>17481173.829999998</v>
      </c>
      <c r="C13" s="783">
        <v>6808889.7300000004</v>
      </c>
      <c r="D13" s="784">
        <v>2335742.13</v>
      </c>
      <c r="E13" s="784">
        <v>1183071.1200000001</v>
      </c>
      <c r="F13" s="784">
        <v>1320435.1100000001</v>
      </c>
      <c r="G13" s="778">
        <v>29129311.920000002</v>
      </c>
      <c r="H13" s="782">
        <v>16904841.120000001</v>
      </c>
      <c r="I13" s="783">
        <v>10553060.25</v>
      </c>
      <c r="J13" s="783">
        <v>2330695.77</v>
      </c>
      <c r="K13" s="783">
        <v>1008533.19</v>
      </c>
      <c r="L13" s="784">
        <v>986613.34</v>
      </c>
      <c r="M13" s="778">
        <v>31783743.670000002</v>
      </c>
    </row>
    <row r="14" spans="1:13" ht="21" customHeight="1" x14ac:dyDescent="0.25">
      <c r="A14" s="765" t="s">
        <v>49</v>
      </c>
      <c r="B14" s="776">
        <v>26475113.899999999</v>
      </c>
      <c r="C14" s="777">
        <v>42693762.979999997</v>
      </c>
      <c r="D14" s="777">
        <v>889470.01</v>
      </c>
      <c r="E14" s="777">
        <v>895516.45</v>
      </c>
      <c r="F14" s="777">
        <v>692636.89</v>
      </c>
      <c r="G14" s="778">
        <v>71646500.230000004</v>
      </c>
      <c r="H14" s="776">
        <v>26150099.16</v>
      </c>
      <c r="I14" s="777">
        <v>50919054.240000002</v>
      </c>
      <c r="J14" s="777">
        <v>2591450.79</v>
      </c>
      <c r="K14" s="777">
        <v>1057539.5</v>
      </c>
      <c r="L14" s="777">
        <v>812428.33</v>
      </c>
      <c r="M14" s="778">
        <v>81530572.020000011</v>
      </c>
    </row>
    <row r="15" spans="1:13" ht="21" customHeight="1" x14ac:dyDescent="0.25">
      <c r="A15" s="765" t="s">
        <v>386</v>
      </c>
      <c r="B15" s="785">
        <v>6239562.5599999996</v>
      </c>
      <c r="C15" s="777">
        <v>1702122.87</v>
      </c>
      <c r="D15" s="777">
        <v>2155377.29</v>
      </c>
      <c r="E15" s="777"/>
      <c r="F15" s="777">
        <v>396</v>
      </c>
      <c r="G15" s="778">
        <v>10097458.719999999</v>
      </c>
      <c r="H15" s="776">
        <v>6038818.1799999997</v>
      </c>
      <c r="I15" s="777">
        <v>2815011.78</v>
      </c>
      <c r="J15" s="777">
        <v>2539223.98</v>
      </c>
      <c r="K15" s="777"/>
      <c r="L15" s="777">
        <v>198</v>
      </c>
      <c r="M15" s="778">
        <v>11393251.939999999</v>
      </c>
    </row>
    <row r="16" spans="1:13" ht="21" customHeight="1" x14ac:dyDescent="0.25">
      <c r="A16" s="765" t="s">
        <v>29</v>
      </c>
      <c r="B16" s="776">
        <v>13942828.720000001</v>
      </c>
      <c r="C16" s="777">
        <v>3035430.55</v>
      </c>
      <c r="D16" s="777">
        <v>1126655.19</v>
      </c>
      <c r="E16" s="777"/>
      <c r="F16" s="777">
        <v>15221963.310000001</v>
      </c>
      <c r="G16" s="778">
        <v>33326877.770000003</v>
      </c>
      <c r="H16" s="776">
        <v>13847956.01</v>
      </c>
      <c r="I16" s="777">
        <v>4838766.07</v>
      </c>
      <c r="J16" s="777">
        <v>496068.73</v>
      </c>
      <c r="K16" s="777">
        <v>176880.92</v>
      </c>
      <c r="L16" s="777">
        <v>14773050.17</v>
      </c>
      <c r="M16" s="778">
        <v>34132721.899999999</v>
      </c>
    </row>
    <row r="17" spans="1:13" ht="21" customHeight="1" x14ac:dyDescent="0.25">
      <c r="A17" s="765" t="s">
        <v>32</v>
      </c>
      <c r="B17" s="776">
        <v>12670310.49</v>
      </c>
      <c r="C17" s="777">
        <v>6202375.1100000003</v>
      </c>
      <c r="D17" s="777">
        <v>175426.12</v>
      </c>
      <c r="E17" s="777">
        <v>465590</v>
      </c>
      <c r="F17" s="777">
        <v>45682.29</v>
      </c>
      <c r="G17" s="778">
        <v>19559384.010000002</v>
      </c>
      <c r="H17" s="776">
        <v>12335949.49</v>
      </c>
      <c r="I17" s="777">
        <v>7950098.1100000003</v>
      </c>
      <c r="J17" s="777">
        <v>95800.86</v>
      </c>
      <c r="K17" s="777">
        <v>473315.76</v>
      </c>
      <c r="L17" s="777">
        <v>301820.90999999997</v>
      </c>
      <c r="M17" s="778">
        <v>21156985.130000003</v>
      </c>
    </row>
    <row r="18" spans="1:13" ht="21" customHeight="1" x14ac:dyDescent="0.25">
      <c r="A18" s="765" t="s">
        <v>38</v>
      </c>
      <c r="B18" s="776">
        <v>7318513.0599999996</v>
      </c>
      <c r="C18" s="777">
        <v>4792428.32</v>
      </c>
      <c r="D18" s="777">
        <v>526255.42000000004</v>
      </c>
      <c r="E18" s="777">
        <v>15355.38</v>
      </c>
      <c r="F18" s="777">
        <v>609601.36</v>
      </c>
      <c r="G18" s="778">
        <v>13262153.539999999</v>
      </c>
      <c r="H18" s="776">
        <v>7511961.7800000003</v>
      </c>
      <c r="I18" s="777">
        <v>5746673.4500000002</v>
      </c>
      <c r="J18" s="777">
        <v>612904.51</v>
      </c>
      <c r="K18" s="777">
        <v>14485.62</v>
      </c>
      <c r="L18" s="777">
        <v>678854.56</v>
      </c>
      <c r="M18" s="778">
        <v>14564879.92</v>
      </c>
    </row>
    <row r="19" spans="1:13" ht="21" customHeight="1" x14ac:dyDescent="0.25">
      <c r="A19" s="765" t="s">
        <v>43</v>
      </c>
      <c r="B19" s="776">
        <v>8326502.5700000003</v>
      </c>
      <c r="C19" s="777"/>
      <c r="D19" s="777">
        <v>74354.009999999995</v>
      </c>
      <c r="E19" s="777">
        <v>12593.53</v>
      </c>
      <c r="F19" s="777">
        <v>36856.1</v>
      </c>
      <c r="G19" s="778">
        <v>8450306.209999999</v>
      </c>
      <c r="H19" s="776">
        <v>8035698.7999999998</v>
      </c>
      <c r="I19" s="777"/>
      <c r="J19" s="777">
        <v>85469.23</v>
      </c>
      <c r="K19" s="777">
        <v>23423.94</v>
      </c>
      <c r="L19" s="777">
        <v>61187.91</v>
      </c>
      <c r="M19" s="778">
        <v>8205779.8800000008</v>
      </c>
    </row>
    <row r="20" spans="1:13" ht="21" customHeight="1" x14ac:dyDescent="0.25">
      <c r="A20" s="765" t="s">
        <v>45</v>
      </c>
      <c r="B20" s="776">
        <v>1918280.06</v>
      </c>
      <c r="C20" s="777">
        <v>48762.63</v>
      </c>
      <c r="D20" s="777">
        <v>23930.18</v>
      </c>
      <c r="E20" s="777">
        <v>28977.97</v>
      </c>
      <c r="F20" s="777">
        <v>12476.7</v>
      </c>
      <c r="G20" s="778">
        <v>2032427.5399999998</v>
      </c>
      <c r="H20" s="776">
        <v>2462246.62</v>
      </c>
      <c r="I20" s="777">
        <v>5656267.1399999997</v>
      </c>
      <c r="J20" s="777">
        <v>769223.97</v>
      </c>
      <c r="K20" s="777">
        <v>43531.79</v>
      </c>
      <c r="L20" s="777">
        <v>10671.7</v>
      </c>
      <c r="M20" s="778">
        <v>8941941.2199999988</v>
      </c>
    </row>
    <row r="21" spans="1:13" ht="21" customHeight="1" x14ac:dyDescent="0.25">
      <c r="A21" s="765" t="s">
        <v>173</v>
      </c>
      <c r="B21" s="776">
        <v>3864688.21</v>
      </c>
      <c r="C21" s="777">
        <v>444823.55</v>
      </c>
      <c r="D21" s="777">
        <v>6492.54</v>
      </c>
      <c r="E21" s="777">
        <v>16657.39</v>
      </c>
      <c r="F21" s="777">
        <v>1250</v>
      </c>
      <c r="G21" s="778">
        <v>4333911.6899999995</v>
      </c>
      <c r="H21" s="776">
        <v>3992930.1</v>
      </c>
      <c r="I21" s="777">
        <v>3599084.24</v>
      </c>
      <c r="J21" s="777">
        <v>6346.44</v>
      </c>
      <c r="K21" s="777">
        <v>57324.39</v>
      </c>
      <c r="L21" s="777">
        <v>30370.83</v>
      </c>
      <c r="M21" s="778">
        <v>7686056</v>
      </c>
    </row>
    <row r="22" spans="1:13" ht="21" customHeight="1" x14ac:dyDescent="0.25">
      <c r="A22" s="765" t="s">
        <v>35</v>
      </c>
      <c r="B22" s="776">
        <v>11751724.189999999</v>
      </c>
      <c r="C22" s="777"/>
      <c r="D22" s="777">
        <v>1018129.07</v>
      </c>
      <c r="E22" s="777"/>
      <c r="F22" s="777">
        <v>292.5</v>
      </c>
      <c r="G22" s="778">
        <v>12770145.76</v>
      </c>
      <c r="H22" s="776">
        <v>11435639</v>
      </c>
      <c r="I22" s="777">
        <v>2421697</v>
      </c>
      <c r="J22" s="777">
        <v>1122372.29</v>
      </c>
      <c r="K22" s="777"/>
      <c r="L22" s="777">
        <v>198.5</v>
      </c>
      <c r="M22" s="778">
        <v>14979906.789999999</v>
      </c>
    </row>
    <row r="23" spans="1:13" ht="21" customHeight="1" thickBot="1" x14ac:dyDescent="0.3">
      <c r="A23" s="766" t="s">
        <v>42</v>
      </c>
      <c r="B23" s="786">
        <v>5085935.92</v>
      </c>
      <c r="C23" s="787">
        <v>3269887.27</v>
      </c>
      <c r="D23" s="787">
        <v>9449.42</v>
      </c>
      <c r="E23" s="787">
        <v>28509.99</v>
      </c>
      <c r="F23" s="787">
        <v>389890.14</v>
      </c>
      <c r="G23" s="788">
        <v>8783672.7400000002</v>
      </c>
      <c r="H23" s="786">
        <v>5269982.68</v>
      </c>
      <c r="I23" s="787">
        <v>2881916.01</v>
      </c>
      <c r="J23" s="787">
        <v>408360.42</v>
      </c>
      <c r="K23" s="787">
        <v>28509.99</v>
      </c>
      <c r="L23" s="787">
        <v>104689.84</v>
      </c>
      <c r="M23" s="788">
        <v>8693458.9399999995</v>
      </c>
    </row>
    <row r="24" spans="1:13" s="424" customFormat="1" ht="27.75" customHeight="1" thickBot="1" x14ac:dyDescent="0.3">
      <c r="A24" s="789" t="s">
        <v>23</v>
      </c>
      <c r="B24" s="790">
        <v>255834895.04000002</v>
      </c>
      <c r="C24" s="791">
        <v>122870243.75999999</v>
      </c>
      <c r="D24" s="792">
        <v>26990590.90000001</v>
      </c>
      <c r="E24" s="792">
        <v>7547110.1400000006</v>
      </c>
      <c r="F24" s="792">
        <v>36203112.720000006</v>
      </c>
      <c r="G24" s="793">
        <v>449445952.56000006</v>
      </c>
      <c r="H24" s="794">
        <v>251804206.22000003</v>
      </c>
      <c r="I24" s="791">
        <v>184057823.34</v>
      </c>
      <c r="J24" s="791">
        <v>28480196.330000002</v>
      </c>
      <c r="K24" s="791">
        <v>8164887.5600000005</v>
      </c>
      <c r="L24" s="792">
        <v>38420280.009999998</v>
      </c>
      <c r="M24" s="793">
        <v>510927393.46000004</v>
      </c>
    </row>
    <row r="25" spans="1:13" x14ac:dyDescent="0.25">
      <c r="M25" s="460" t="s">
        <v>497</v>
      </c>
    </row>
    <row r="26" spans="1:13" x14ac:dyDescent="0.25">
      <c r="A26" s="423"/>
    </row>
    <row r="27" spans="1:13" x14ac:dyDescent="0.25">
      <c r="A27" s="423"/>
    </row>
    <row r="28" spans="1:13" x14ac:dyDescent="0.25">
      <c r="A28" s="423"/>
    </row>
    <row r="29" spans="1:13" x14ac:dyDescent="0.25">
      <c r="A29" s="423"/>
    </row>
    <row r="30" spans="1:13" x14ac:dyDescent="0.25">
      <c r="A30" s="423"/>
    </row>
    <row r="31" spans="1:13" x14ac:dyDescent="0.25">
      <c r="A31" s="423"/>
    </row>
    <row r="32" spans="1:13" x14ac:dyDescent="0.25">
      <c r="A32" s="423"/>
    </row>
    <row r="33" spans="1:1" x14ac:dyDescent="0.25">
      <c r="A33" s="423"/>
    </row>
    <row r="34" spans="1:1" x14ac:dyDescent="0.25">
      <c r="A34" s="423"/>
    </row>
    <row r="35" spans="1:1" x14ac:dyDescent="0.25">
      <c r="A35" s="423"/>
    </row>
    <row r="36" spans="1:1" x14ac:dyDescent="0.25">
      <c r="A36" s="423"/>
    </row>
  </sheetData>
  <mergeCells count="4">
    <mergeCell ref="A1:M1"/>
    <mergeCell ref="B2:G2"/>
    <mergeCell ref="H2:M2"/>
    <mergeCell ref="A2:A3"/>
  </mergeCells>
  <pageMargins left="0.70866141732283472" right="0.11811023622047245" top="0.74803149606299213" bottom="0.15748031496062992" header="0.31496062992125984" footer="0.31496062992125984"/>
  <pageSetup paperSize="9" scale="6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31"/>
  <sheetViews>
    <sheetView zoomScaleNormal="100" workbookViewId="0">
      <selection sqref="A1:L1"/>
    </sheetView>
  </sheetViews>
  <sheetFormatPr defaultRowHeight="15" x14ac:dyDescent="0.25"/>
  <cols>
    <col min="1" max="1" width="12.7109375" customWidth="1"/>
    <col min="2" max="2" width="12" customWidth="1"/>
    <col min="3" max="3" width="13.28515625" customWidth="1"/>
    <col min="4" max="4" width="10.7109375" customWidth="1"/>
    <col min="5" max="5" width="10.5703125" customWidth="1"/>
    <col min="6" max="6" width="10.28515625" customWidth="1"/>
    <col min="7" max="7" width="10.42578125" customWidth="1"/>
    <col min="8" max="8" width="4.140625" customWidth="1"/>
    <col min="9" max="9" width="10.85546875" customWidth="1"/>
    <col min="10" max="10" width="10.42578125" style="8" customWidth="1"/>
    <col min="11" max="11" width="10.5703125" customWidth="1"/>
    <col min="12" max="12" width="11" customWidth="1"/>
    <col min="15" max="15" width="9.28515625" customWidth="1"/>
  </cols>
  <sheetData>
    <row r="1" spans="1:18" ht="47.25" customHeight="1" thickBot="1" x14ac:dyDescent="0.3">
      <c r="A1" s="947" t="s">
        <v>5</v>
      </c>
      <c r="B1" s="947"/>
      <c r="C1" s="947"/>
      <c r="D1" s="947"/>
      <c r="E1" s="947"/>
      <c r="F1" s="947"/>
      <c r="G1" s="947"/>
      <c r="H1" s="947"/>
      <c r="I1" s="947"/>
      <c r="J1" s="947"/>
      <c r="K1" s="947"/>
      <c r="L1" s="947"/>
      <c r="M1" s="806"/>
      <c r="N1" s="806"/>
    </row>
    <row r="2" spans="1:18" ht="21" thickBot="1" x14ac:dyDescent="0.3">
      <c r="B2" s="6"/>
      <c r="C2" s="6"/>
      <c r="D2" s="6"/>
      <c r="E2" s="6"/>
      <c r="F2" s="6"/>
      <c r="G2" s="6"/>
      <c r="H2" s="7"/>
      <c r="I2" s="952" t="s">
        <v>110</v>
      </c>
      <c r="J2" s="953"/>
      <c r="K2" s="953"/>
      <c r="L2" s="954"/>
    </row>
    <row r="3" spans="1:18" ht="15.75" thickBot="1" x14ac:dyDescent="0.3">
      <c r="A3" s="868"/>
      <c r="B3" s="948" t="s">
        <v>0</v>
      </c>
      <c r="C3" s="949"/>
      <c r="D3" s="948" t="s">
        <v>109</v>
      </c>
      <c r="E3" s="949"/>
      <c r="F3" s="948" t="s">
        <v>391</v>
      </c>
      <c r="G3" s="949"/>
      <c r="H3" s="8"/>
      <c r="I3" s="950" t="s">
        <v>109</v>
      </c>
      <c r="J3" s="951"/>
      <c r="K3" s="948" t="s">
        <v>391</v>
      </c>
      <c r="L3" s="949"/>
    </row>
    <row r="4" spans="1:18" ht="15.75" thickBot="1" x14ac:dyDescent="0.3">
      <c r="A4" s="120" t="s">
        <v>80</v>
      </c>
      <c r="B4" s="121">
        <v>187644</v>
      </c>
      <c r="C4" s="122">
        <v>0.83179956380658548</v>
      </c>
      <c r="D4" s="123">
        <v>179658</v>
      </c>
      <c r="E4" s="124">
        <v>0.82779999999999998</v>
      </c>
      <c r="F4" s="123">
        <f>SUM(F5:F14)</f>
        <v>172993</v>
      </c>
      <c r="G4" s="125">
        <f>F4/F28</f>
        <v>0.81588926095363867</v>
      </c>
      <c r="H4" s="8"/>
      <c r="I4" s="123">
        <v>4858</v>
      </c>
      <c r="J4" s="125">
        <f xml:space="preserve"> I4/D28</f>
        <v>2.2383074009740184E-2</v>
      </c>
      <c r="K4" s="123">
        <f>SUM(K6:K14)</f>
        <v>4977</v>
      </c>
      <c r="L4" s="124">
        <f>+K4/F28</f>
        <v>2.3473093430174976E-2</v>
      </c>
    </row>
    <row r="5" spans="1:18" ht="15.75" thickBot="1" x14ac:dyDescent="0.3">
      <c r="A5" s="867"/>
      <c r="B5" s="938" t="s">
        <v>7</v>
      </c>
      <c r="C5" s="938"/>
      <c r="D5" s="938"/>
      <c r="E5" s="938"/>
      <c r="F5" s="938"/>
      <c r="G5" s="939"/>
      <c r="H5" s="8"/>
      <c r="I5" s="944" t="s">
        <v>7</v>
      </c>
      <c r="J5" s="945"/>
      <c r="K5" s="945"/>
      <c r="L5" s="946"/>
    </row>
    <row r="6" spans="1:18" x14ac:dyDescent="0.25">
      <c r="A6" s="433" t="s">
        <v>1</v>
      </c>
      <c r="B6" s="434">
        <v>84763</v>
      </c>
      <c r="C6" s="435">
        <v>0.37574250403390252</v>
      </c>
      <c r="D6" s="91">
        <v>79915</v>
      </c>
      <c r="E6" s="436">
        <f xml:space="preserve"> D6/D28</f>
        <v>0.36820571418040077</v>
      </c>
      <c r="F6" s="437">
        <v>78556</v>
      </c>
      <c r="G6" s="438">
        <f>F6/F28</f>
        <v>0.37049474131019194</v>
      </c>
      <c r="H6" s="8"/>
      <c r="I6" s="446">
        <v>946</v>
      </c>
      <c r="J6" s="438">
        <f xml:space="preserve"> I6/D28</f>
        <v>4.3586636503116947E-3</v>
      </c>
      <c r="K6" s="91">
        <v>930</v>
      </c>
      <c r="L6" s="438">
        <f>+K6/F28</f>
        <v>4.3861717681460168E-3</v>
      </c>
    </row>
    <row r="7" spans="1:18" x14ac:dyDescent="0.25">
      <c r="A7" s="3" t="s">
        <v>2</v>
      </c>
      <c r="B7" s="31">
        <v>9862</v>
      </c>
      <c r="C7" s="126">
        <v>4.3716864372218382E-2</v>
      </c>
      <c r="D7" s="32">
        <v>9494</v>
      </c>
      <c r="E7" s="340">
        <f xml:space="preserve"> D7/D28</f>
        <v>4.374329037638397E-2</v>
      </c>
      <c r="F7" s="304">
        <v>9789</v>
      </c>
      <c r="G7" s="127">
        <f>F7/F28</f>
        <v>4.616799509503372E-2</v>
      </c>
      <c r="H7" s="8"/>
      <c r="I7" s="32">
        <v>2020</v>
      </c>
      <c r="J7" s="127">
        <f xml:space="preserve"> I7/D28</f>
        <v>9.3070830588051004E-3</v>
      </c>
      <c r="K7" s="32">
        <v>2279</v>
      </c>
      <c r="L7" s="127">
        <f>+K7/F28</f>
        <v>1.0748478988822337E-2</v>
      </c>
    </row>
    <row r="8" spans="1:18" x14ac:dyDescent="0.25">
      <c r="A8" s="3" t="s">
        <v>3</v>
      </c>
      <c r="B8" s="31">
        <v>38807</v>
      </c>
      <c r="C8" s="126">
        <v>0.17202599429047644</v>
      </c>
      <c r="D8" s="32">
        <v>39483</v>
      </c>
      <c r="E8" s="340">
        <f xml:space="preserve"> D8/D28</f>
        <v>0.18191661406475335</v>
      </c>
      <c r="F8" s="304">
        <v>38590</v>
      </c>
      <c r="G8" s="439">
        <f>F8/F28</f>
        <v>0.18200254680941377</v>
      </c>
      <c r="H8" s="8"/>
      <c r="I8" s="5">
        <v>425</v>
      </c>
      <c r="J8" s="127">
        <f xml:space="preserve"> I8/D28</f>
        <v>1.9581734158377064E-3</v>
      </c>
      <c r="K8" s="5">
        <v>443</v>
      </c>
      <c r="L8" s="127">
        <f>+K8/F28</f>
        <v>2.0893269820308445E-3</v>
      </c>
    </row>
    <row r="9" spans="1:18" ht="15.75" thickBot="1" x14ac:dyDescent="0.3">
      <c r="A9" s="4" t="s">
        <v>4</v>
      </c>
      <c r="B9" s="440">
        <v>5520</v>
      </c>
      <c r="C9" s="441">
        <v>2.4469386669503698E-2</v>
      </c>
      <c r="D9" s="442">
        <v>6151</v>
      </c>
      <c r="E9" s="443">
        <f xml:space="preserve"> D9/D28</f>
        <v>2.8340528660747606E-2</v>
      </c>
      <c r="F9" s="444">
        <v>6296</v>
      </c>
      <c r="G9" s="445">
        <f>F9/F28</f>
        <v>2.9693911238975617E-2</v>
      </c>
      <c r="H9" s="8"/>
      <c r="I9" s="450">
        <v>140</v>
      </c>
      <c r="J9" s="129">
        <f xml:space="preserve"> I9/D28</f>
        <v>6.4504536051124457E-4</v>
      </c>
      <c r="K9" s="447">
        <v>152</v>
      </c>
      <c r="L9" s="129">
        <f>+K9/F28</f>
        <v>7.1687968683676836E-4</v>
      </c>
      <c r="N9" s="52"/>
      <c r="O9" s="52"/>
      <c r="P9" s="52"/>
      <c r="R9" s="52"/>
    </row>
    <row r="10" spans="1:18" ht="15.75" thickBot="1" x14ac:dyDescent="0.3">
      <c r="A10" s="803"/>
      <c r="B10" s="940" t="s">
        <v>8</v>
      </c>
      <c r="C10" s="940"/>
      <c r="D10" s="940"/>
      <c r="E10" s="940"/>
      <c r="F10" s="940"/>
      <c r="G10" s="941"/>
      <c r="H10" s="8"/>
      <c r="I10" s="944" t="s">
        <v>8</v>
      </c>
      <c r="J10" s="945"/>
      <c r="K10" s="945"/>
      <c r="L10" s="946"/>
      <c r="P10" s="52"/>
      <c r="R10" s="52"/>
    </row>
    <row r="11" spans="1:18" x14ac:dyDescent="0.25">
      <c r="A11" s="433" t="s">
        <v>1</v>
      </c>
      <c r="B11" s="91">
        <v>27015</v>
      </c>
      <c r="C11" s="438">
        <v>0.11975371030373956</v>
      </c>
      <c r="D11" s="91">
        <v>23603</v>
      </c>
      <c r="E11" s="438">
        <f xml:space="preserve"> D11/D28</f>
        <v>0.10875004031533503</v>
      </c>
      <c r="F11" s="437">
        <v>20757</v>
      </c>
      <c r="G11" s="438">
        <f>F11/F28</f>
        <v>9.7896524076781594E-2</v>
      </c>
      <c r="H11" s="8"/>
      <c r="I11" s="446">
        <v>387</v>
      </c>
      <c r="J11" s="438">
        <f xml:space="preserve"> I11/D28</f>
        <v>1.7830896751275117E-3</v>
      </c>
      <c r="K11" s="446">
        <v>289</v>
      </c>
      <c r="L11" s="438">
        <f>+K11/F28</f>
        <v>1.3630146677356977E-3</v>
      </c>
    </row>
    <row r="12" spans="1:18" x14ac:dyDescent="0.25">
      <c r="A12" s="3" t="s">
        <v>2</v>
      </c>
      <c r="B12" s="5">
        <v>552</v>
      </c>
      <c r="C12" s="127">
        <v>2.4469386669503696E-3</v>
      </c>
      <c r="D12" s="5">
        <v>296</v>
      </c>
      <c r="E12" s="127">
        <f xml:space="preserve"> D12/D28</f>
        <v>1.3638101907952028E-3</v>
      </c>
      <c r="F12" s="304">
        <v>227</v>
      </c>
      <c r="G12" s="127">
        <f>F12/F28</f>
        <v>1.0706032165259632E-3</v>
      </c>
      <c r="H12" s="8"/>
      <c r="I12" s="5">
        <v>40</v>
      </c>
      <c r="J12" s="127">
        <f xml:space="preserve"> I12/D28</f>
        <v>1.8429867443178416E-4</v>
      </c>
      <c r="K12" s="5">
        <v>28</v>
      </c>
      <c r="L12" s="127">
        <f>+K12/F28</f>
        <v>1.3205678441729945E-4</v>
      </c>
    </row>
    <row r="13" spans="1:18" x14ac:dyDescent="0.25">
      <c r="A13" s="3" t="s">
        <v>3</v>
      </c>
      <c r="B13" s="32">
        <v>16267</v>
      </c>
      <c r="C13" s="127">
        <v>7.2109332056669681E-2</v>
      </c>
      <c r="D13" s="32">
        <v>15760</v>
      </c>
      <c r="E13" s="127">
        <f xml:space="preserve"> D13/D28</f>
        <v>7.2613677726122955E-2</v>
      </c>
      <c r="F13" s="304">
        <v>14199</v>
      </c>
      <c r="G13" s="127">
        <f>F13/F28</f>
        <v>6.6966938640758381E-2</v>
      </c>
      <c r="H13" s="8"/>
      <c r="I13" s="5">
        <v>280</v>
      </c>
      <c r="J13" s="339">
        <f xml:space="preserve"> I13/D28</f>
        <v>1.2900907210224891E-3</v>
      </c>
      <c r="K13" s="306">
        <v>205</v>
      </c>
      <c r="L13" s="454">
        <f>+K13/F28</f>
        <v>9.6684431448379948E-4</v>
      </c>
    </row>
    <row r="14" spans="1:18" ht="15.75" thickBot="1" x14ac:dyDescent="0.3">
      <c r="A14" s="4" t="s">
        <v>4</v>
      </c>
      <c r="B14" s="103">
        <v>4858</v>
      </c>
      <c r="C14" s="129">
        <v>2.1534833413124812E-2</v>
      </c>
      <c r="D14" s="103">
        <v>4956</v>
      </c>
      <c r="E14" s="129">
        <f xml:space="preserve"> D14/D28</f>
        <v>2.2834605762098056E-2</v>
      </c>
      <c r="F14" s="444">
        <v>4579</v>
      </c>
      <c r="G14" s="129">
        <f>F14/F28</f>
        <v>2.1596000565957646E-2</v>
      </c>
      <c r="H14" s="8"/>
      <c r="I14" s="447">
        <v>620</v>
      </c>
      <c r="J14" s="455">
        <f xml:space="preserve"> I14/D28</f>
        <v>2.8566294536926545E-3</v>
      </c>
      <c r="K14" s="456">
        <v>651</v>
      </c>
      <c r="L14" s="449">
        <f>+K14/F28</f>
        <v>3.0703202377022122E-3</v>
      </c>
    </row>
    <row r="15" spans="1:18" ht="15.75" thickBot="1" x14ac:dyDescent="0.3">
      <c r="A15" s="804"/>
      <c r="B15" s="334"/>
      <c r="C15" s="431"/>
      <c r="D15" s="334"/>
      <c r="E15" s="431"/>
      <c r="F15" s="432"/>
      <c r="G15" s="805"/>
      <c r="H15" s="8"/>
      <c r="I15" s="839"/>
      <c r="J15" s="431"/>
      <c r="K15" s="333"/>
      <c r="L15" s="805"/>
    </row>
    <row r="16" spans="1:18" ht="15.75" thickBot="1" x14ac:dyDescent="0.3">
      <c r="A16" s="120" t="s">
        <v>81</v>
      </c>
      <c r="B16" s="128">
        <v>37944</v>
      </c>
      <c r="C16" s="124">
        <v>0.16820043619341454</v>
      </c>
      <c r="D16" s="123">
        <v>37381</v>
      </c>
      <c r="E16" s="341">
        <f xml:space="preserve"> D16/D28</f>
        <v>0.17223171872336307</v>
      </c>
      <c r="F16" s="123">
        <f>SUM(F18:F26)</f>
        <v>39037</v>
      </c>
      <c r="G16" s="124">
        <f>F16/F28</f>
        <v>0.18411073904636135</v>
      </c>
      <c r="H16" s="8"/>
      <c r="I16" s="123">
        <v>4016</v>
      </c>
      <c r="J16" s="124">
        <f xml:space="preserve"> I16/D28</f>
        <v>1.850358691295113E-2</v>
      </c>
      <c r="K16" s="123">
        <f>SUM(K18:K26)</f>
        <v>4262</v>
      </c>
      <c r="L16" s="124">
        <f>+K16/F28</f>
        <v>2.010092911380465E-2</v>
      </c>
    </row>
    <row r="17" spans="1:17" ht="15.75" thickBot="1" x14ac:dyDescent="0.3">
      <c r="A17" s="803"/>
      <c r="B17" s="942" t="s">
        <v>7</v>
      </c>
      <c r="C17" s="942"/>
      <c r="D17" s="942"/>
      <c r="E17" s="942"/>
      <c r="F17" s="942"/>
      <c r="G17" s="943"/>
      <c r="H17" s="8"/>
      <c r="I17" s="944" t="s">
        <v>7</v>
      </c>
      <c r="J17" s="945"/>
      <c r="K17" s="945"/>
      <c r="L17" s="946"/>
    </row>
    <row r="18" spans="1:17" x14ac:dyDescent="0.25">
      <c r="A18" s="433" t="s">
        <v>1</v>
      </c>
      <c r="B18" s="139">
        <v>7716</v>
      </c>
      <c r="C18" s="438">
        <v>3.4203947018458428E-2</v>
      </c>
      <c r="D18" s="451">
        <v>7605</v>
      </c>
      <c r="E18" s="436">
        <f xml:space="preserve"> D18/D28</f>
        <v>3.5039785476342962E-2</v>
      </c>
      <c r="F18" s="437">
        <v>8051</v>
      </c>
      <c r="G18" s="438">
        <f>F18/F28</f>
        <v>3.7971041833702777E-2</v>
      </c>
      <c r="H18" s="8"/>
      <c r="I18" s="800">
        <v>192</v>
      </c>
      <c r="J18" s="438">
        <f xml:space="preserve"> I18/D28</f>
        <v>8.8463363727256394E-4</v>
      </c>
      <c r="K18" s="446">
        <v>308</v>
      </c>
      <c r="L18" s="438">
        <f>+K18/F28</f>
        <v>1.4526246285902938E-3</v>
      </c>
    </row>
    <row r="19" spans="1:17" x14ac:dyDescent="0.25">
      <c r="A19" s="3" t="s">
        <v>2</v>
      </c>
      <c r="B19" s="1">
        <v>0</v>
      </c>
      <c r="C19" s="127">
        <v>0</v>
      </c>
      <c r="D19" s="98">
        <v>0</v>
      </c>
      <c r="E19" s="340">
        <f xml:space="preserve"> D19/D28</f>
        <v>0</v>
      </c>
      <c r="F19" s="304">
        <v>0</v>
      </c>
      <c r="G19" s="127">
        <f>F19/F28</f>
        <v>0</v>
      </c>
      <c r="H19" s="8"/>
      <c r="I19" s="98">
        <v>0</v>
      </c>
      <c r="J19" s="127">
        <f xml:space="preserve"> I19/D28</f>
        <v>0</v>
      </c>
      <c r="K19" s="5">
        <v>0</v>
      </c>
      <c r="L19" s="127">
        <f>+K19/F28</f>
        <v>0</v>
      </c>
    </row>
    <row r="20" spans="1:17" x14ac:dyDescent="0.25">
      <c r="A20" s="3" t="s">
        <v>3</v>
      </c>
      <c r="B20" s="33">
        <v>1299</v>
      </c>
      <c r="C20" s="127">
        <v>5.7582850151603809E-3</v>
      </c>
      <c r="D20" s="32">
        <v>1551</v>
      </c>
      <c r="E20" s="340">
        <f xml:space="preserve"> D20/D28</f>
        <v>7.1461811010924301E-3</v>
      </c>
      <c r="F20" s="304">
        <v>2037</v>
      </c>
      <c r="G20" s="127">
        <f>F20/F28</f>
        <v>9.6071310663585346E-3</v>
      </c>
      <c r="H20" s="8"/>
      <c r="I20" s="5">
        <v>7</v>
      </c>
      <c r="J20" s="127">
        <f xml:space="preserve"> I20/D28</f>
        <v>3.2252268025562223E-5</v>
      </c>
      <c r="K20" s="5">
        <v>28</v>
      </c>
      <c r="L20" s="127">
        <f>+K20/F28</f>
        <v>1.3205678441729945E-4</v>
      </c>
    </row>
    <row r="21" spans="1:17" ht="15.75" thickBot="1" x14ac:dyDescent="0.3">
      <c r="A21" s="4" t="s">
        <v>4</v>
      </c>
      <c r="B21" s="2">
        <v>60</v>
      </c>
      <c r="C21" s="129">
        <v>2.6597159423373583E-4</v>
      </c>
      <c r="D21" s="452">
        <v>85</v>
      </c>
      <c r="E21" s="443">
        <f xml:space="preserve"> D21/D28</f>
        <v>3.9163468316754133E-4</v>
      </c>
      <c r="F21" s="444">
        <v>189</v>
      </c>
      <c r="G21" s="129">
        <f>F21/F28</f>
        <v>8.9138329481677119E-4</v>
      </c>
      <c r="H21" s="8"/>
      <c r="I21" s="450">
        <v>24</v>
      </c>
      <c r="J21" s="129">
        <f xml:space="preserve"> I21/D28</f>
        <v>1.1057920465907049E-4</v>
      </c>
      <c r="K21" s="447">
        <v>74</v>
      </c>
      <c r="L21" s="129">
        <f>+K21/F28</f>
        <v>3.4900721596000566E-4</v>
      </c>
    </row>
    <row r="22" spans="1:17" ht="15.75" thickBot="1" x14ac:dyDescent="0.3">
      <c r="A22" s="803"/>
      <c r="B22" s="940" t="s">
        <v>8</v>
      </c>
      <c r="C22" s="940"/>
      <c r="D22" s="940"/>
      <c r="E22" s="940"/>
      <c r="F22" s="940"/>
      <c r="G22" s="941"/>
      <c r="H22" s="8"/>
      <c r="I22" s="944" t="s">
        <v>8</v>
      </c>
      <c r="J22" s="945"/>
      <c r="K22" s="945"/>
      <c r="L22" s="946"/>
    </row>
    <row r="23" spans="1:17" x14ac:dyDescent="0.25">
      <c r="A23" s="433" t="s">
        <v>1</v>
      </c>
      <c r="B23" s="139">
        <v>23224</v>
      </c>
      <c r="C23" s="438">
        <v>0.10294873840807135</v>
      </c>
      <c r="D23" s="453">
        <v>21169</v>
      </c>
      <c r="E23" s="436">
        <f xml:space="preserve"> D23/D28</f>
        <v>9.7535465976160973E-2</v>
      </c>
      <c r="F23" s="437">
        <v>19386</v>
      </c>
      <c r="G23" s="438">
        <f>F23/F28</f>
        <v>9.1430457954063099E-2</v>
      </c>
      <c r="H23" s="8"/>
      <c r="I23" s="801">
        <v>3163</v>
      </c>
      <c r="J23" s="438">
        <f xml:space="preserve"> I23/D28</f>
        <v>1.4573417680693332E-2</v>
      </c>
      <c r="K23" s="91">
        <v>3088</v>
      </c>
      <c r="L23" s="438">
        <f>+K23/F28</f>
        <v>1.4563976795736452E-2</v>
      </c>
    </row>
    <row r="24" spans="1:17" x14ac:dyDescent="0.25">
      <c r="A24" s="3" t="s">
        <v>2</v>
      </c>
      <c r="B24" s="1">
        <v>0</v>
      </c>
      <c r="C24" s="127">
        <v>0</v>
      </c>
      <c r="D24" s="98">
        <v>0</v>
      </c>
      <c r="E24" s="340">
        <f xml:space="preserve"> D24/D28</f>
        <v>0</v>
      </c>
      <c r="F24" s="304">
        <v>0</v>
      </c>
      <c r="G24" s="127">
        <f>F24/F28</f>
        <v>0</v>
      </c>
      <c r="H24" s="8"/>
      <c r="I24" s="98">
        <v>0</v>
      </c>
      <c r="J24" s="127">
        <f xml:space="preserve"> I24/D28</f>
        <v>0</v>
      </c>
      <c r="K24" s="5">
        <v>0</v>
      </c>
      <c r="L24" s="127">
        <f>+K24/F28</f>
        <v>0</v>
      </c>
    </row>
    <row r="25" spans="1:17" x14ac:dyDescent="0.25">
      <c r="A25" s="3" t="s">
        <v>3</v>
      </c>
      <c r="B25" s="33">
        <v>5368</v>
      </c>
      <c r="C25" s="127">
        <v>2.3795591964111566E-2</v>
      </c>
      <c r="D25" s="32">
        <v>6353</v>
      </c>
      <c r="E25" s="340">
        <f xml:space="preserve"> D25/D28</f>
        <v>2.9271236966628117E-2</v>
      </c>
      <c r="F25" s="304">
        <v>8647</v>
      </c>
      <c r="G25" s="127">
        <f>F25/F28</f>
        <v>4.078196481629958E-2</v>
      </c>
      <c r="H25" s="8"/>
      <c r="I25" s="5">
        <v>488</v>
      </c>
      <c r="J25" s="127">
        <f xml:space="preserve"> I25/D28</f>
        <v>2.2484438280677664E-3</v>
      </c>
      <c r="K25" s="5">
        <v>623</v>
      </c>
      <c r="L25" s="127">
        <f>+K25/F28</f>
        <v>2.9382634532849126E-3</v>
      </c>
    </row>
    <row r="26" spans="1:17" ht="15.75" thickBot="1" x14ac:dyDescent="0.3">
      <c r="A26" s="4" t="s">
        <v>4</v>
      </c>
      <c r="B26" s="2">
        <v>277</v>
      </c>
      <c r="C26" s="129">
        <v>1.2279021933790804E-3</v>
      </c>
      <c r="D26" s="448">
        <v>618</v>
      </c>
      <c r="E26" s="443">
        <f xml:space="preserve"> D26/D28</f>
        <v>2.8474145199710653E-3</v>
      </c>
      <c r="F26" s="444">
        <v>727</v>
      </c>
      <c r="G26" s="445">
        <f>F26/F28</f>
        <v>3.4287600811205962E-3</v>
      </c>
      <c r="H26" s="8"/>
      <c r="I26" s="802">
        <v>142</v>
      </c>
      <c r="J26" s="129">
        <f xml:space="preserve"> I26/D28</f>
        <v>6.5426029423283378E-4</v>
      </c>
      <c r="K26" s="447">
        <v>141</v>
      </c>
      <c r="L26" s="129">
        <f>+K26/F28</f>
        <v>6.6500023581568643E-4</v>
      </c>
      <c r="N26" s="52"/>
    </row>
    <row r="27" spans="1:17" ht="15.75" thickBot="1" x14ac:dyDescent="0.3">
      <c r="A27" s="430"/>
      <c r="B27" s="333"/>
      <c r="C27" s="431"/>
      <c r="D27" s="333"/>
      <c r="E27" s="431"/>
      <c r="F27" s="432"/>
      <c r="G27" s="457"/>
      <c r="H27" s="8"/>
      <c r="I27" s="333"/>
      <c r="J27" s="431"/>
      <c r="K27" s="333"/>
      <c r="L27" s="431"/>
    </row>
    <row r="28" spans="1:17" ht="15.75" thickBot="1" x14ac:dyDescent="0.3">
      <c r="A28" s="458" t="s">
        <v>6</v>
      </c>
      <c r="B28" s="123">
        <v>225588</v>
      </c>
      <c r="C28" s="124">
        <v>1</v>
      </c>
      <c r="D28" s="123">
        <f xml:space="preserve"> D4+D16</f>
        <v>217039</v>
      </c>
      <c r="E28" s="124">
        <f xml:space="preserve"> E4+E16</f>
        <v>1.0000317187233629</v>
      </c>
      <c r="F28" s="305">
        <f>SUM(F4,F16)</f>
        <v>212030</v>
      </c>
      <c r="G28" s="124">
        <f>SUM(G4,G16)</f>
        <v>1</v>
      </c>
      <c r="H28" s="8"/>
      <c r="I28" s="123">
        <f xml:space="preserve"> I4+I16</f>
        <v>8874</v>
      </c>
      <c r="J28" s="124">
        <f xml:space="preserve"> I28/D28</f>
        <v>4.0886660922691311E-2</v>
      </c>
      <c r="K28" s="128">
        <f>SUM(K4,K16)</f>
        <v>9239</v>
      </c>
      <c r="L28" s="124">
        <f>+K28/F28</f>
        <v>4.3574022543979622E-2</v>
      </c>
      <c r="N28" s="52"/>
      <c r="O28" s="52"/>
    </row>
    <row r="29" spans="1:17" x14ac:dyDescent="0.25">
      <c r="A29" s="17" t="s">
        <v>2</v>
      </c>
      <c r="B29" s="16" t="s">
        <v>496</v>
      </c>
      <c r="C29" s="16"/>
      <c r="D29" s="16"/>
      <c r="E29" s="16"/>
      <c r="F29" s="52"/>
      <c r="G29" s="86"/>
      <c r="H29" s="52"/>
      <c r="J29" s="52"/>
      <c r="K29" s="52"/>
      <c r="L29" s="18" t="s">
        <v>24</v>
      </c>
    </row>
    <row r="30" spans="1:17" x14ac:dyDescent="0.25">
      <c r="N30" s="52"/>
      <c r="O30" s="86"/>
      <c r="P30" s="16"/>
      <c r="Q30" s="86"/>
    </row>
    <row r="31" spans="1:17" x14ac:dyDescent="0.25">
      <c r="N31" s="52"/>
    </row>
  </sheetData>
  <mergeCells count="15">
    <mergeCell ref="A1:L1"/>
    <mergeCell ref="B3:C3"/>
    <mergeCell ref="D3:E3"/>
    <mergeCell ref="F3:G3"/>
    <mergeCell ref="I3:J3"/>
    <mergeCell ref="I2:L2"/>
    <mergeCell ref="K3:L3"/>
    <mergeCell ref="B5:G5"/>
    <mergeCell ref="B10:G10"/>
    <mergeCell ref="B17:G17"/>
    <mergeCell ref="B22:G22"/>
    <mergeCell ref="I5:L5"/>
    <mergeCell ref="I10:L10"/>
    <mergeCell ref="I17:L17"/>
    <mergeCell ref="I22:L22"/>
  </mergeCells>
  <phoneticPr fontId="4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20"/>
  <sheetViews>
    <sheetView zoomScaleNormal="100" workbookViewId="0">
      <selection sqref="A1:J1"/>
    </sheetView>
  </sheetViews>
  <sheetFormatPr defaultRowHeight="15" x14ac:dyDescent="0.25"/>
  <cols>
    <col min="1" max="1" width="46.28515625" customWidth="1"/>
    <col min="2" max="2" width="8.5703125" customWidth="1"/>
    <col min="3" max="3" width="10.140625" customWidth="1"/>
    <col min="4" max="10" width="8.5703125" customWidth="1"/>
  </cols>
  <sheetData>
    <row r="1" spans="1:11" ht="47.25" customHeight="1" thickBot="1" x14ac:dyDescent="0.3">
      <c r="A1" s="958" t="s">
        <v>393</v>
      </c>
      <c r="B1" s="958"/>
      <c r="C1" s="958"/>
      <c r="D1" s="958"/>
      <c r="E1" s="958"/>
      <c r="F1" s="958"/>
      <c r="G1" s="958"/>
      <c r="H1" s="958"/>
      <c r="I1" s="958"/>
      <c r="J1" s="958"/>
    </row>
    <row r="2" spans="1:11" ht="15.75" thickBot="1" x14ac:dyDescent="0.3">
      <c r="A2" s="832" t="s">
        <v>19</v>
      </c>
      <c r="B2" s="959" t="s">
        <v>80</v>
      </c>
      <c r="C2" s="960"/>
      <c r="D2" s="960"/>
      <c r="E2" s="961"/>
      <c r="F2" s="959" t="s">
        <v>81</v>
      </c>
      <c r="G2" s="960"/>
      <c r="H2" s="960"/>
      <c r="I2" s="961"/>
      <c r="J2" s="955" t="s">
        <v>18</v>
      </c>
    </row>
    <row r="3" spans="1:11" x14ac:dyDescent="0.25">
      <c r="A3" s="840" t="s">
        <v>20</v>
      </c>
      <c r="B3" s="962" t="s">
        <v>48</v>
      </c>
      <c r="C3" s="963"/>
      <c r="D3" s="962" t="s">
        <v>4</v>
      </c>
      <c r="E3" s="963"/>
      <c r="F3" s="962" t="s">
        <v>48</v>
      </c>
      <c r="G3" s="963"/>
      <c r="H3" s="962" t="s">
        <v>4</v>
      </c>
      <c r="I3" s="963"/>
      <c r="J3" s="956"/>
    </row>
    <row r="4" spans="1:11" ht="30.75" customHeight="1" thickBot="1" x14ac:dyDescent="0.3">
      <c r="A4" s="87" t="s">
        <v>21</v>
      </c>
      <c r="B4" s="88" t="s">
        <v>23</v>
      </c>
      <c r="C4" s="89" t="s">
        <v>410</v>
      </c>
      <c r="D4" s="88" t="s">
        <v>23</v>
      </c>
      <c r="E4" s="89" t="s">
        <v>410</v>
      </c>
      <c r="F4" s="88" t="s">
        <v>23</v>
      </c>
      <c r="G4" s="89" t="s">
        <v>410</v>
      </c>
      <c r="H4" s="88" t="s">
        <v>23</v>
      </c>
      <c r="I4" s="89" t="s">
        <v>410</v>
      </c>
      <c r="J4" s="957"/>
    </row>
    <row r="5" spans="1:11" x14ac:dyDescent="0.25">
      <c r="A5" s="90" t="s">
        <v>11</v>
      </c>
      <c r="B5" s="91">
        <v>6854</v>
      </c>
      <c r="C5" s="92">
        <v>5367</v>
      </c>
      <c r="D5" s="93">
        <v>475</v>
      </c>
      <c r="E5" s="94">
        <v>287</v>
      </c>
      <c r="F5" s="93">
        <v>0</v>
      </c>
      <c r="G5" s="94">
        <v>0</v>
      </c>
      <c r="H5" s="93">
        <v>0</v>
      </c>
      <c r="I5" s="94">
        <v>0</v>
      </c>
      <c r="J5" s="95">
        <f t="shared" ref="J5:J11" si="0" xml:space="preserve"> B5+D5+F5+H5</f>
        <v>7329</v>
      </c>
    </row>
    <row r="6" spans="1:11" x14ac:dyDescent="0.25">
      <c r="A6" s="96" t="s">
        <v>12</v>
      </c>
      <c r="B6" s="32">
        <v>8936</v>
      </c>
      <c r="C6" s="97">
        <v>7997</v>
      </c>
      <c r="D6" s="32">
        <v>1648</v>
      </c>
      <c r="E6" s="97">
        <v>1317</v>
      </c>
      <c r="F6" s="98">
        <v>274</v>
      </c>
      <c r="G6" s="99">
        <v>98</v>
      </c>
      <c r="H6" s="98">
        <v>23</v>
      </c>
      <c r="I6" s="99">
        <v>9</v>
      </c>
      <c r="J6" s="100">
        <f t="shared" si="0"/>
        <v>10881</v>
      </c>
    </row>
    <row r="7" spans="1:11" x14ac:dyDescent="0.25">
      <c r="A7" s="96" t="s">
        <v>13</v>
      </c>
      <c r="B7" s="32">
        <v>87774</v>
      </c>
      <c r="C7" s="97">
        <v>63020</v>
      </c>
      <c r="D7" s="32">
        <v>4092</v>
      </c>
      <c r="E7" s="97">
        <v>1902</v>
      </c>
      <c r="F7" s="32">
        <v>31763</v>
      </c>
      <c r="G7" s="97">
        <v>8065</v>
      </c>
      <c r="H7" s="98">
        <v>653</v>
      </c>
      <c r="I7" s="99">
        <v>126</v>
      </c>
      <c r="J7" s="100">
        <f t="shared" si="0"/>
        <v>124282</v>
      </c>
      <c r="K7" s="52"/>
    </row>
    <row r="8" spans="1:11" x14ac:dyDescent="0.25">
      <c r="A8" s="96" t="s">
        <v>14</v>
      </c>
      <c r="B8" s="32">
        <v>39178</v>
      </c>
      <c r="C8" s="97">
        <v>34366</v>
      </c>
      <c r="D8" s="32">
        <v>3087</v>
      </c>
      <c r="E8" s="97">
        <v>2052</v>
      </c>
      <c r="F8" s="98">
        <v>80</v>
      </c>
      <c r="G8" s="99">
        <v>43</v>
      </c>
      <c r="H8" s="98">
        <v>0</v>
      </c>
      <c r="I8" s="99">
        <v>0</v>
      </c>
      <c r="J8" s="100">
        <f t="shared" si="0"/>
        <v>42345</v>
      </c>
    </row>
    <row r="9" spans="1:11" x14ac:dyDescent="0.25">
      <c r="A9" s="96" t="s">
        <v>15</v>
      </c>
      <c r="B9" s="32">
        <v>4606</v>
      </c>
      <c r="C9" s="97">
        <v>4059</v>
      </c>
      <c r="D9" s="98">
        <v>547</v>
      </c>
      <c r="E9" s="99">
        <v>306</v>
      </c>
      <c r="F9" s="98">
        <v>15</v>
      </c>
      <c r="G9" s="99">
        <v>11</v>
      </c>
      <c r="H9" s="98">
        <v>0</v>
      </c>
      <c r="I9" s="99">
        <v>0</v>
      </c>
      <c r="J9" s="100">
        <f t="shared" si="0"/>
        <v>5168</v>
      </c>
    </row>
    <row r="10" spans="1:11" x14ac:dyDescent="0.25">
      <c r="A10" s="96" t="s">
        <v>16</v>
      </c>
      <c r="B10" s="32">
        <v>1469</v>
      </c>
      <c r="C10" s="99">
        <v>1024</v>
      </c>
      <c r="D10" s="98">
        <v>80</v>
      </c>
      <c r="E10" s="99">
        <v>27</v>
      </c>
      <c r="F10" s="32">
        <v>3191</v>
      </c>
      <c r="G10" s="97">
        <v>1733</v>
      </c>
      <c r="H10" s="98">
        <v>0</v>
      </c>
      <c r="I10" s="99">
        <v>0</v>
      </c>
      <c r="J10" s="101">
        <f t="shared" si="0"/>
        <v>4740</v>
      </c>
    </row>
    <row r="11" spans="1:11" ht="15.75" thickBot="1" x14ac:dyDescent="0.3">
      <c r="A11" s="102" t="s">
        <v>17</v>
      </c>
      <c r="B11" s="103">
        <v>13301</v>
      </c>
      <c r="C11" s="104">
        <v>11102</v>
      </c>
      <c r="D11" s="105">
        <v>946</v>
      </c>
      <c r="E11" s="106">
        <v>405</v>
      </c>
      <c r="F11" s="103">
        <v>2798</v>
      </c>
      <c r="G11" s="106">
        <v>138</v>
      </c>
      <c r="H11" s="105">
        <v>240</v>
      </c>
      <c r="I11" s="106">
        <v>54</v>
      </c>
      <c r="J11" s="107">
        <f t="shared" si="0"/>
        <v>17285</v>
      </c>
    </row>
    <row r="12" spans="1:11" ht="15.75" thickBot="1" x14ac:dyDescent="0.3">
      <c r="A12" s="301" t="s">
        <v>22</v>
      </c>
      <c r="B12" s="8"/>
      <c r="C12" s="8"/>
      <c r="D12" s="8"/>
      <c r="E12" s="8"/>
      <c r="F12" s="8"/>
      <c r="G12" s="8"/>
      <c r="H12" s="8"/>
      <c r="I12" s="109" t="s">
        <v>18</v>
      </c>
      <c r="J12" s="110">
        <f>SUM(J5:J11)</f>
        <v>212030</v>
      </c>
    </row>
    <row r="13" spans="1:11" x14ac:dyDescent="0.25">
      <c r="A13" s="90" t="s">
        <v>11</v>
      </c>
      <c r="B13" s="111">
        <f xml:space="preserve"> B5/J12</f>
        <v>3.2325614299863227E-2</v>
      </c>
      <c r="C13" s="112">
        <f xml:space="preserve"> C5/J12</f>
        <v>2.5312455784558791E-2</v>
      </c>
      <c r="D13" s="111">
        <f xml:space="preserve"> D5/J12</f>
        <v>2.2402490213649013E-3</v>
      </c>
      <c r="E13" s="112">
        <f xml:space="preserve"> E5/J12</f>
        <v>1.3535820402773193E-3</v>
      </c>
      <c r="F13" s="111">
        <f xml:space="preserve"> F5/J12</f>
        <v>0</v>
      </c>
      <c r="G13" s="112">
        <f xml:space="preserve"> G5/J12</f>
        <v>0</v>
      </c>
      <c r="H13" s="111">
        <f xml:space="preserve"> H5/J12</f>
        <v>0</v>
      </c>
      <c r="I13" s="112">
        <f xml:space="preserve"> I5/J12</f>
        <v>0</v>
      </c>
      <c r="J13" s="113">
        <f xml:space="preserve"> J5/J12</f>
        <v>3.456586332122813E-2</v>
      </c>
    </row>
    <row r="14" spans="1:11" x14ac:dyDescent="0.25">
      <c r="A14" s="96" t="s">
        <v>12</v>
      </c>
      <c r="B14" s="114">
        <f xml:space="preserve"> B6/J12</f>
        <v>4.2144979484035276E-2</v>
      </c>
      <c r="C14" s="115">
        <f xml:space="preserve"> C6/J12</f>
        <v>3.7716360892326557E-2</v>
      </c>
      <c r="D14" s="114">
        <f xml:space="preserve"> D6/J12</f>
        <v>7.7724850257039095E-3</v>
      </c>
      <c r="E14" s="115">
        <f xml:space="preserve"> E6/J12</f>
        <v>6.2113851813422631E-3</v>
      </c>
      <c r="F14" s="114">
        <f xml:space="preserve"> F6/J12</f>
        <v>1.2922699617978588E-3</v>
      </c>
      <c r="G14" s="115">
        <f xml:space="preserve"> G6/J12</f>
        <v>4.6219874546054804E-4</v>
      </c>
      <c r="H14" s="114">
        <f xml:space="preserve"> H6/J12</f>
        <v>1.0847521577135312E-4</v>
      </c>
      <c r="I14" s="115">
        <f xml:space="preserve"> I6/J12</f>
        <v>4.2446823562703392E-5</v>
      </c>
      <c r="J14" s="116">
        <f xml:space="preserve"> J6/J12</f>
        <v>5.1318209687308401E-2</v>
      </c>
    </row>
    <row r="15" spans="1:11" x14ac:dyDescent="0.25">
      <c r="A15" s="96" t="s">
        <v>13</v>
      </c>
      <c r="B15" s="114">
        <f xml:space="preserve"> B7/J12</f>
        <v>0.41396972126585863</v>
      </c>
      <c r="C15" s="115">
        <f xml:space="preserve"> C7/J12</f>
        <v>0.29722209121350751</v>
      </c>
      <c r="D15" s="114">
        <f xml:space="preserve"> D7/J12</f>
        <v>1.9299155779842474E-2</v>
      </c>
      <c r="E15" s="115">
        <f xml:space="preserve"> E7/J12</f>
        <v>8.9704287129179841E-3</v>
      </c>
      <c r="F15" s="114">
        <f xml:space="preserve"> F7/J12</f>
        <v>0.14980427298023866</v>
      </c>
      <c r="G15" s="115">
        <f xml:space="preserve"> G7/J12</f>
        <v>3.8037070225911428E-2</v>
      </c>
      <c r="H15" s="114">
        <f xml:space="preserve"> H7/J12</f>
        <v>3.0797528651605906E-3</v>
      </c>
      <c r="I15" s="115">
        <f xml:space="preserve"> I7/J12</f>
        <v>5.9425552987784746E-4</v>
      </c>
      <c r="J15" s="116">
        <f xml:space="preserve"> J7/J12</f>
        <v>0.58615290289110034</v>
      </c>
    </row>
    <row r="16" spans="1:11" x14ac:dyDescent="0.25">
      <c r="A16" s="96" t="s">
        <v>14</v>
      </c>
      <c r="B16" s="114">
        <f xml:space="preserve"> B8/J12</f>
        <v>0.18477573928217705</v>
      </c>
      <c r="C16" s="115">
        <f xml:space="preserve"> C8/J12</f>
        <v>0.16208083761731831</v>
      </c>
      <c r="D16" s="114">
        <f xml:space="preserve"> D8/J12</f>
        <v>1.4559260482007263E-2</v>
      </c>
      <c r="E16" s="115">
        <f xml:space="preserve"> E8/J12</f>
        <v>9.6778757722963734E-3</v>
      </c>
      <c r="F16" s="114">
        <f xml:space="preserve"> F8/J12</f>
        <v>3.7730509833514128E-4</v>
      </c>
      <c r="G16" s="115">
        <f xml:space="preserve"> G8/J12</f>
        <v>2.0280149035513842E-4</v>
      </c>
      <c r="H16" s="114">
        <f xml:space="preserve"> H8/J12</f>
        <v>0</v>
      </c>
      <c r="I16" s="115">
        <f xml:space="preserve"> I8/J12</f>
        <v>0</v>
      </c>
      <c r="J16" s="116">
        <f xml:space="preserve"> J8/J12</f>
        <v>0.19971230486251945</v>
      </c>
    </row>
    <row r="17" spans="1:10" x14ac:dyDescent="0.25">
      <c r="A17" s="96" t="s">
        <v>15</v>
      </c>
      <c r="B17" s="114">
        <f xml:space="preserve"> B9/J12</f>
        <v>2.1723341036645756E-2</v>
      </c>
      <c r="C17" s="115">
        <f xml:space="preserve"> C9/J12</f>
        <v>1.9143517426779229E-2</v>
      </c>
      <c r="D17" s="114">
        <f xml:space="preserve"> D9/J12</f>
        <v>2.5798236098665281E-3</v>
      </c>
      <c r="E17" s="115">
        <f xml:space="preserve"> E9/J12</f>
        <v>1.4431920011319154E-3</v>
      </c>
      <c r="F17" s="114">
        <f xml:space="preserve"> F9/J12</f>
        <v>7.0744705937838986E-5</v>
      </c>
      <c r="G17" s="115">
        <f xml:space="preserve"> G9/J12</f>
        <v>5.1879451021081921E-5</v>
      </c>
      <c r="H17" s="114">
        <f xml:space="preserve"> H9/J12</f>
        <v>0</v>
      </c>
      <c r="I17" s="115">
        <f xml:space="preserve"> I9/J12</f>
        <v>0</v>
      </c>
      <c r="J17" s="116">
        <f xml:space="preserve"> J9/J12</f>
        <v>2.4373909352450124E-2</v>
      </c>
    </row>
    <row r="18" spans="1:10" x14ac:dyDescent="0.25">
      <c r="A18" s="96" t="s">
        <v>16</v>
      </c>
      <c r="B18" s="114">
        <f xml:space="preserve"> B10/J12</f>
        <v>6.9282648681790312E-3</v>
      </c>
      <c r="C18" s="115">
        <f xml:space="preserve"> C10/J12</f>
        <v>4.8295052586898079E-3</v>
      </c>
      <c r="D18" s="114">
        <f xml:space="preserve"> D10/J12</f>
        <v>3.7730509833514128E-4</v>
      </c>
      <c r="E18" s="115">
        <f xml:space="preserve"> E10/J12</f>
        <v>1.2734047068811016E-4</v>
      </c>
      <c r="F18" s="114">
        <f xml:space="preserve"> F10/J12</f>
        <v>1.5049757109842946E-2</v>
      </c>
      <c r="G18" s="115">
        <f xml:space="preserve"> G10/J12</f>
        <v>8.1733716926849966E-3</v>
      </c>
      <c r="H18" s="114">
        <f xml:space="preserve"> H10/J12</f>
        <v>0</v>
      </c>
      <c r="I18" s="115">
        <f xml:space="preserve"> I10/J12</f>
        <v>0</v>
      </c>
      <c r="J18" s="116">
        <f xml:space="preserve"> J10/J12</f>
        <v>2.235532707635712E-2</v>
      </c>
    </row>
    <row r="19" spans="1:10" ht="15.75" thickBot="1" x14ac:dyDescent="0.3">
      <c r="A19" s="102" t="s">
        <v>17</v>
      </c>
      <c r="B19" s="117">
        <f xml:space="preserve"> B11/J12</f>
        <v>6.2731688911946429E-2</v>
      </c>
      <c r="C19" s="118">
        <f xml:space="preserve"> C11/J12</f>
        <v>5.2360515021459227E-2</v>
      </c>
      <c r="D19" s="117">
        <f xml:space="preserve"> D11/J12</f>
        <v>4.4616327878130449E-3</v>
      </c>
      <c r="E19" s="118">
        <f xml:space="preserve"> E11/J12</f>
        <v>1.9101070603216527E-3</v>
      </c>
      <c r="F19" s="117">
        <f xml:space="preserve"> F11/J12</f>
        <v>1.3196245814271566E-2</v>
      </c>
      <c r="G19" s="118">
        <f xml:space="preserve"> G11/J12</f>
        <v>6.508512946281187E-4</v>
      </c>
      <c r="H19" s="117">
        <f xml:space="preserve"> H11/J12</f>
        <v>1.1319152950054238E-3</v>
      </c>
      <c r="I19" s="118">
        <f xml:space="preserve"> I11/J12</f>
        <v>2.5468094137622032E-4</v>
      </c>
      <c r="J19" s="119">
        <f xml:space="preserve"> J11/J12</f>
        <v>8.1521482809036455E-2</v>
      </c>
    </row>
    <row r="20" spans="1:10" x14ac:dyDescent="0.25">
      <c r="J20" s="18" t="s">
        <v>24</v>
      </c>
    </row>
  </sheetData>
  <mergeCells count="8">
    <mergeCell ref="J2:J4"/>
    <mergeCell ref="A1:J1"/>
    <mergeCell ref="F2:I2"/>
    <mergeCell ref="B2:E2"/>
    <mergeCell ref="B3:C3"/>
    <mergeCell ref="D3:E3"/>
    <mergeCell ref="F3:G3"/>
    <mergeCell ref="H3:I3"/>
  </mergeCells>
  <phoneticPr fontId="4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38"/>
  <sheetViews>
    <sheetView zoomScaleNormal="100" workbookViewId="0">
      <selection sqref="A1:H1"/>
    </sheetView>
  </sheetViews>
  <sheetFormatPr defaultRowHeight="15" x14ac:dyDescent="0.25"/>
  <cols>
    <col min="1" max="1" width="17.5703125" bestFit="1" customWidth="1"/>
    <col min="2" max="6" width="9.28515625" customWidth="1"/>
    <col min="7" max="7" width="10.42578125" customWidth="1"/>
    <col min="8" max="8" width="9.28515625" customWidth="1"/>
    <col min="9" max="9" width="10.5703125" bestFit="1" customWidth="1"/>
    <col min="11" max="11" width="10.5703125" customWidth="1"/>
  </cols>
  <sheetData>
    <row r="1" spans="1:11" ht="58.5" customHeight="1" thickBot="1" x14ac:dyDescent="0.4">
      <c r="A1" s="964" t="s">
        <v>394</v>
      </c>
      <c r="B1" s="964"/>
      <c r="C1" s="964"/>
      <c r="D1" s="964"/>
      <c r="E1" s="964"/>
      <c r="F1" s="964"/>
      <c r="G1" s="964"/>
      <c r="H1" s="964"/>
      <c r="I1" s="19"/>
    </row>
    <row r="2" spans="1:11" ht="15" customHeight="1" x14ac:dyDescent="0.25">
      <c r="A2" s="130" t="s">
        <v>46</v>
      </c>
      <c r="B2" s="967" t="s">
        <v>48</v>
      </c>
      <c r="C2" s="968"/>
      <c r="D2" s="962" t="s">
        <v>4</v>
      </c>
      <c r="E2" s="963"/>
      <c r="F2" s="969" t="s">
        <v>18</v>
      </c>
      <c r="G2" s="965" t="s">
        <v>82</v>
      </c>
      <c r="H2" s="971" t="s">
        <v>79</v>
      </c>
    </row>
    <row r="3" spans="1:11" ht="15.75" thickBot="1" x14ac:dyDescent="0.3">
      <c r="A3" s="131" t="s">
        <v>47</v>
      </c>
      <c r="B3" s="132" t="s">
        <v>9</v>
      </c>
      <c r="C3" s="133" t="s">
        <v>10</v>
      </c>
      <c r="D3" s="132" t="s">
        <v>9</v>
      </c>
      <c r="E3" s="133" t="s">
        <v>10</v>
      </c>
      <c r="F3" s="970"/>
      <c r="G3" s="966"/>
      <c r="H3" s="972"/>
    </row>
    <row r="4" spans="1:11" ht="18" customHeight="1" x14ac:dyDescent="0.25">
      <c r="A4" s="814" t="s">
        <v>25</v>
      </c>
      <c r="B4" s="139">
        <v>20943</v>
      </c>
      <c r="C4" s="162">
        <v>4183</v>
      </c>
      <c r="D4" s="91">
        <v>1591</v>
      </c>
      <c r="E4" s="92">
        <v>1083</v>
      </c>
      <c r="F4" s="807">
        <f t="shared" ref="F4:F35" si="0" xml:space="preserve"> B4+C4+D4+E4</f>
        <v>27800</v>
      </c>
      <c r="G4" s="808">
        <f xml:space="preserve"> F4/F36</f>
        <v>0.13111352167146159</v>
      </c>
      <c r="H4" s="542">
        <v>2259</v>
      </c>
      <c r="I4" s="30"/>
      <c r="J4" s="30"/>
      <c r="K4" s="30"/>
    </row>
    <row r="5" spans="1:11" ht="18" customHeight="1" x14ac:dyDescent="0.25">
      <c r="A5" s="538" t="s">
        <v>26</v>
      </c>
      <c r="B5" s="33">
        <v>15770</v>
      </c>
      <c r="C5" s="539">
        <v>275</v>
      </c>
      <c r="D5" s="32">
        <v>1198</v>
      </c>
      <c r="E5" s="135">
        <v>493</v>
      </c>
      <c r="F5" s="540">
        <f t="shared" si="0"/>
        <v>17736</v>
      </c>
      <c r="G5" s="137">
        <f xml:space="preserve"> F5/F36</f>
        <v>8.3648540300900812E-2</v>
      </c>
      <c r="H5" s="543">
        <v>381</v>
      </c>
      <c r="I5" s="30"/>
      <c r="J5" s="30"/>
      <c r="K5" s="30"/>
    </row>
    <row r="6" spans="1:11" ht="18" customHeight="1" x14ac:dyDescent="0.25">
      <c r="A6" s="538" t="s">
        <v>27</v>
      </c>
      <c r="B6" s="33">
        <v>11743</v>
      </c>
      <c r="C6" s="164">
        <v>2592</v>
      </c>
      <c r="D6" s="5">
        <v>541</v>
      </c>
      <c r="E6" s="135">
        <v>448</v>
      </c>
      <c r="F6" s="540">
        <f t="shared" si="0"/>
        <v>15324</v>
      </c>
      <c r="G6" s="137">
        <f xml:space="preserve"> F6/F36</f>
        <v>7.2272791586096313E-2</v>
      </c>
      <c r="H6" s="543">
        <v>157</v>
      </c>
      <c r="I6" s="30"/>
      <c r="J6" s="30"/>
      <c r="K6" s="30"/>
    </row>
    <row r="7" spans="1:11" ht="18" customHeight="1" x14ac:dyDescent="0.25">
      <c r="A7" s="538" t="s">
        <v>28</v>
      </c>
      <c r="B7" s="33">
        <v>2372</v>
      </c>
      <c r="C7" s="164">
        <v>11328</v>
      </c>
      <c r="D7" s="5">
        <v>120</v>
      </c>
      <c r="E7" s="135">
        <v>442</v>
      </c>
      <c r="F7" s="540">
        <f t="shared" si="0"/>
        <v>14262</v>
      </c>
      <c r="G7" s="137">
        <f xml:space="preserve"> F7/F36</f>
        <v>6.7264066405697306E-2</v>
      </c>
      <c r="H7" s="543">
        <v>2147</v>
      </c>
      <c r="I7" s="30"/>
      <c r="J7" s="30"/>
      <c r="K7" s="30"/>
    </row>
    <row r="8" spans="1:11" ht="18" customHeight="1" x14ac:dyDescent="0.25">
      <c r="A8" s="538" t="s">
        <v>29</v>
      </c>
      <c r="B8" s="33">
        <v>8964</v>
      </c>
      <c r="C8" s="164">
        <v>2144</v>
      </c>
      <c r="D8" s="5">
        <v>253</v>
      </c>
      <c r="E8" s="135">
        <v>223</v>
      </c>
      <c r="F8" s="541">
        <f t="shared" si="0"/>
        <v>11584</v>
      </c>
      <c r="G8" s="137">
        <f xml:space="preserve"> F8/F36</f>
        <v>5.4633778238928454E-2</v>
      </c>
      <c r="H8" s="543">
        <v>132</v>
      </c>
      <c r="I8" s="30"/>
      <c r="J8" s="30"/>
      <c r="K8" s="30"/>
    </row>
    <row r="9" spans="1:11" ht="35.25" customHeight="1" x14ac:dyDescent="0.25">
      <c r="A9" s="869" t="s">
        <v>172</v>
      </c>
      <c r="B9" s="33">
        <v>7702</v>
      </c>
      <c r="C9" s="164">
        <v>4028</v>
      </c>
      <c r="D9" s="5">
        <v>267</v>
      </c>
      <c r="E9" s="135">
        <v>178</v>
      </c>
      <c r="F9" s="541">
        <f t="shared" si="0"/>
        <v>12175</v>
      </c>
      <c r="G9" s="137">
        <f xml:space="preserve"> F9/F36</f>
        <v>5.7421119652879313E-2</v>
      </c>
      <c r="H9" s="543">
        <v>119</v>
      </c>
      <c r="I9" s="30"/>
      <c r="J9" s="30"/>
      <c r="K9" s="30"/>
    </row>
    <row r="10" spans="1:11" ht="18" customHeight="1" x14ac:dyDescent="0.25">
      <c r="A10" s="538" t="s">
        <v>30</v>
      </c>
      <c r="B10" s="33">
        <v>8107</v>
      </c>
      <c r="C10" s="164">
        <v>3597</v>
      </c>
      <c r="D10" s="5">
        <v>254</v>
      </c>
      <c r="E10" s="135">
        <v>253</v>
      </c>
      <c r="F10" s="541">
        <f t="shared" si="0"/>
        <v>12211</v>
      </c>
      <c r="G10" s="137">
        <f xml:space="preserve"> F10/F36</f>
        <v>5.7590906947130122E-2</v>
      </c>
      <c r="H10" s="543">
        <v>163</v>
      </c>
      <c r="I10" s="30"/>
      <c r="J10" s="30"/>
      <c r="K10" s="30"/>
    </row>
    <row r="11" spans="1:11" ht="18" customHeight="1" x14ac:dyDescent="0.25">
      <c r="A11" s="538" t="s">
        <v>49</v>
      </c>
      <c r="B11" s="33">
        <v>8981</v>
      </c>
      <c r="C11" s="164">
        <v>1853</v>
      </c>
      <c r="D11" s="5">
        <v>383</v>
      </c>
      <c r="E11" s="135">
        <v>231</v>
      </c>
      <c r="F11" s="541">
        <f t="shared" si="0"/>
        <v>11448</v>
      </c>
      <c r="G11" s="137">
        <f xml:space="preserve"> F11/F36</f>
        <v>5.3992359571758713E-2</v>
      </c>
      <c r="H11" s="543">
        <v>171</v>
      </c>
      <c r="I11" s="30"/>
      <c r="J11" s="30"/>
      <c r="K11" s="30"/>
    </row>
    <row r="12" spans="1:11" ht="18" customHeight="1" x14ac:dyDescent="0.25">
      <c r="A12" s="538" t="s">
        <v>31</v>
      </c>
      <c r="B12" s="33">
        <v>6722</v>
      </c>
      <c r="C12" s="164">
        <v>2636</v>
      </c>
      <c r="D12" s="5">
        <v>219</v>
      </c>
      <c r="E12" s="135">
        <v>294</v>
      </c>
      <c r="F12" s="541">
        <f t="shared" si="0"/>
        <v>9871</v>
      </c>
      <c r="G12" s="137">
        <f xml:space="preserve"> F12/F36</f>
        <v>4.6554732820827241E-2</v>
      </c>
      <c r="H12" s="543">
        <v>102</v>
      </c>
      <c r="I12" s="30"/>
      <c r="J12" s="30"/>
      <c r="K12" s="30"/>
    </row>
    <row r="13" spans="1:11" ht="18" customHeight="1" x14ac:dyDescent="0.25">
      <c r="A13" s="538" t="s">
        <v>32</v>
      </c>
      <c r="B13" s="33">
        <v>6892</v>
      </c>
      <c r="C13" s="164">
        <v>2512</v>
      </c>
      <c r="D13" s="5">
        <v>245</v>
      </c>
      <c r="E13" s="135">
        <v>176</v>
      </c>
      <c r="F13" s="541">
        <f t="shared" si="0"/>
        <v>9825</v>
      </c>
      <c r="G13" s="137">
        <f xml:space="preserve"> F13/F36</f>
        <v>4.6337782389284536E-2</v>
      </c>
      <c r="H13" s="543">
        <v>106</v>
      </c>
      <c r="I13" s="30"/>
      <c r="J13" s="30"/>
      <c r="K13" s="30"/>
    </row>
    <row r="14" spans="1:11" ht="18" customHeight="1" x14ac:dyDescent="0.25">
      <c r="A14" s="538" t="s">
        <v>33</v>
      </c>
      <c r="B14" s="33">
        <v>7114</v>
      </c>
      <c r="C14" s="164">
        <v>945</v>
      </c>
      <c r="D14" s="5">
        <v>361</v>
      </c>
      <c r="E14" s="135">
        <v>307</v>
      </c>
      <c r="F14" s="541">
        <f t="shared" si="0"/>
        <v>8727</v>
      </c>
      <c r="G14" s="137">
        <f xml:space="preserve"> F14/F36</f>
        <v>4.115926991463472E-2</v>
      </c>
      <c r="H14" s="543">
        <v>450</v>
      </c>
      <c r="I14" s="30"/>
      <c r="J14" s="30"/>
      <c r="K14" s="30"/>
    </row>
    <row r="15" spans="1:11" ht="18" customHeight="1" x14ac:dyDescent="0.25">
      <c r="A15" s="538" t="s">
        <v>34</v>
      </c>
      <c r="B15" s="33">
        <v>4178</v>
      </c>
      <c r="C15" s="164">
        <v>2434</v>
      </c>
      <c r="D15" s="5">
        <v>188</v>
      </c>
      <c r="E15" s="135">
        <v>268</v>
      </c>
      <c r="F15" s="541">
        <f t="shared" si="0"/>
        <v>7068</v>
      </c>
      <c r="G15" s="137">
        <f xml:space="preserve"> F15/F36</f>
        <v>3.3334905437909727E-2</v>
      </c>
      <c r="H15" s="543">
        <v>98</v>
      </c>
      <c r="I15" s="30"/>
      <c r="J15" s="30"/>
      <c r="K15" s="30"/>
    </row>
    <row r="16" spans="1:11" ht="18" customHeight="1" x14ac:dyDescent="0.25">
      <c r="A16" s="538" t="s">
        <v>35</v>
      </c>
      <c r="B16" s="33">
        <v>4216</v>
      </c>
      <c r="C16" s="164">
        <v>3123</v>
      </c>
      <c r="D16" s="5">
        <v>176</v>
      </c>
      <c r="E16" s="135">
        <v>243</v>
      </c>
      <c r="F16" s="541">
        <f t="shared" si="0"/>
        <v>7758</v>
      </c>
      <c r="G16" s="137">
        <f xml:space="preserve"> F16/F36</f>
        <v>3.6589161911050321E-2</v>
      </c>
      <c r="H16" s="543">
        <v>124</v>
      </c>
      <c r="I16" s="30"/>
      <c r="J16" s="30"/>
      <c r="K16" s="30"/>
    </row>
    <row r="17" spans="1:11" ht="18" customHeight="1" x14ac:dyDescent="0.25">
      <c r="A17" s="538" t="s">
        <v>36</v>
      </c>
      <c r="B17" s="33">
        <v>4148</v>
      </c>
      <c r="C17" s="164">
        <v>1158</v>
      </c>
      <c r="D17" s="5">
        <v>79</v>
      </c>
      <c r="E17" s="135">
        <v>60</v>
      </c>
      <c r="F17" s="541">
        <f t="shared" si="0"/>
        <v>5445</v>
      </c>
      <c r="G17" s="137">
        <f xml:space="preserve"> F17/F36</f>
        <v>2.568032825543555E-2</v>
      </c>
      <c r="H17" s="543">
        <v>27</v>
      </c>
      <c r="I17" s="30"/>
      <c r="J17" s="30"/>
      <c r="K17" s="30"/>
    </row>
    <row r="18" spans="1:11" ht="18" customHeight="1" x14ac:dyDescent="0.25">
      <c r="A18" s="538" t="s">
        <v>386</v>
      </c>
      <c r="B18" s="33">
        <v>2812</v>
      </c>
      <c r="C18" s="164">
        <v>1527</v>
      </c>
      <c r="D18" s="5">
        <v>85</v>
      </c>
      <c r="E18" s="135">
        <v>18</v>
      </c>
      <c r="F18" s="541">
        <f t="shared" si="0"/>
        <v>4442</v>
      </c>
      <c r="G18" s="137">
        <f xml:space="preserve"> F18/F36</f>
        <v>2.0949865585058718E-2</v>
      </c>
      <c r="H18" s="543">
        <v>109</v>
      </c>
      <c r="I18" s="30"/>
      <c r="J18" s="30"/>
      <c r="K18" s="30"/>
    </row>
    <row r="19" spans="1:11" ht="18" customHeight="1" x14ac:dyDescent="0.25">
      <c r="A19" s="538" t="s">
        <v>38</v>
      </c>
      <c r="B19" s="33">
        <v>3223</v>
      </c>
      <c r="C19" s="164">
        <v>1398</v>
      </c>
      <c r="D19" s="5">
        <v>154</v>
      </c>
      <c r="E19" s="135">
        <v>103</v>
      </c>
      <c r="F19" s="541">
        <f t="shared" si="0"/>
        <v>4878</v>
      </c>
      <c r="G19" s="137">
        <f xml:space="preserve"> F19/F36</f>
        <v>2.3006178370985238E-2</v>
      </c>
      <c r="H19" s="543">
        <v>136</v>
      </c>
      <c r="I19" s="30"/>
      <c r="J19" s="30"/>
      <c r="K19" s="30"/>
    </row>
    <row r="20" spans="1:11" ht="18" customHeight="1" x14ac:dyDescent="0.25">
      <c r="A20" s="538" t="s">
        <v>108</v>
      </c>
      <c r="B20" s="33">
        <v>2414</v>
      </c>
      <c r="C20" s="164">
        <v>2351</v>
      </c>
      <c r="D20" s="5">
        <v>59</v>
      </c>
      <c r="E20" s="135">
        <v>206</v>
      </c>
      <c r="F20" s="541">
        <f t="shared" si="0"/>
        <v>5030</v>
      </c>
      <c r="G20" s="137">
        <f xml:space="preserve"> F20/F36</f>
        <v>2.3723058057822006E-2</v>
      </c>
      <c r="H20" s="101">
        <v>805</v>
      </c>
      <c r="I20" s="30"/>
      <c r="J20" s="30"/>
      <c r="K20" s="30"/>
    </row>
    <row r="21" spans="1:11" ht="18" customHeight="1" x14ac:dyDescent="0.25">
      <c r="A21" s="538" t="s">
        <v>39</v>
      </c>
      <c r="B21" s="1">
        <v>16</v>
      </c>
      <c r="C21" s="164">
        <v>5128</v>
      </c>
      <c r="D21" s="5">
        <v>0</v>
      </c>
      <c r="E21" s="135">
        <v>0</v>
      </c>
      <c r="F21" s="541">
        <f t="shared" si="0"/>
        <v>5144</v>
      </c>
      <c r="G21" s="137">
        <f xml:space="preserve"> F21/F36</f>
        <v>2.4260717822949581E-2</v>
      </c>
      <c r="H21" s="543">
        <v>1032</v>
      </c>
      <c r="I21" s="30"/>
      <c r="J21" s="30"/>
      <c r="K21" s="30"/>
    </row>
    <row r="22" spans="1:11" ht="18" customHeight="1" x14ac:dyDescent="0.25">
      <c r="A22" s="538" t="s">
        <v>37</v>
      </c>
      <c r="B22" s="1">
        <v>717</v>
      </c>
      <c r="C22" s="164">
        <v>3949</v>
      </c>
      <c r="D22" s="5">
        <v>0</v>
      </c>
      <c r="E22" s="135">
        <v>0</v>
      </c>
      <c r="F22" s="541">
        <f t="shared" si="0"/>
        <v>4666</v>
      </c>
      <c r="G22" s="137">
        <f xml:space="preserve"> F22/F36</f>
        <v>2.2006319860397115E-2</v>
      </c>
      <c r="H22" s="101">
        <v>35</v>
      </c>
      <c r="I22" s="30"/>
      <c r="J22" s="30"/>
      <c r="K22" s="30"/>
    </row>
    <row r="23" spans="1:11" ht="18" customHeight="1" x14ac:dyDescent="0.25">
      <c r="A23" s="538" t="s">
        <v>41</v>
      </c>
      <c r="B23" s="1">
        <v>697</v>
      </c>
      <c r="C23" s="164">
        <v>2158</v>
      </c>
      <c r="D23" s="5">
        <v>0</v>
      </c>
      <c r="E23" s="135">
        <v>48</v>
      </c>
      <c r="F23" s="541">
        <f xml:space="preserve"> B23+C23+D23+E23</f>
        <v>2903</v>
      </c>
      <c r="G23" s="137">
        <f xml:space="preserve"> F23/F36</f>
        <v>1.3691458755836439E-2</v>
      </c>
      <c r="H23" s="101">
        <v>90</v>
      </c>
      <c r="I23" s="30"/>
      <c r="J23" s="30"/>
      <c r="K23" s="30"/>
    </row>
    <row r="24" spans="1:11" ht="18" customHeight="1" x14ac:dyDescent="0.25">
      <c r="A24" s="538" t="s">
        <v>40</v>
      </c>
      <c r="B24" s="33">
        <v>1733</v>
      </c>
      <c r="C24" s="164">
        <v>1458</v>
      </c>
      <c r="D24" s="5">
        <v>0</v>
      </c>
      <c r="E24" s="135">
        <v>0</v>
      </c>
      <c r="F24" s="541">
        <f t="shared" si="0"/>
        <v>3191</v>
      </c>
      <c r="G24" s="137">
        <f xml:space="preserve"> F24/F36</f>
        <v>1.5049757109842946E-2</v>
      </c>
      <c r="H24" s="101">
        <v>2</v>
      </c>
      <c r="I24" s="30"/>
      <c r="J24" s="30"/>
      <c r="K24" s="30"/>
    </row>
    <row r="25" spans="1:11" ht="18" customHeight="1" x14ac:dyDescent="0.25">
      <c r="A25" s="538" t="s">
        <v>42</v>
      </c>
      <c r="B25" s="33">
        <v>1542</v>
      </c>
      <c r="C25" s="539">
        <v>657</v>
      </c>
      <c r="D25" s="5">
        <v>14</v>
      </c>
      <c r="E25" s="135">
        <v>7</v>
      </c>
      <c r="F25" s="541">
        <f t="shared" si="0"/>
        <v>2220</v>
      </c>
      <c r="G25" s="137">
        <f xml:space="preserve"> F25/F36</f>
        <v>1.0470216478800171E-2</v>
      </c>
      <c r="H25" s="101">
        <v>63</v>
      </c>
      <c r="I25" s="30"/>
      <c r="J25" s="30"/>
      <c r="K25" s="30"/>
    </row>
    <row r="26" spans="1:11" ht="18" customHeight="1" x14ac:dyDescent="0.25">
      <c r="A26" s="538" t="s">
        <v>111</v>
      </c>
      <c r="B26" s="33">
        <v>1783</v>
      </c>
      <c r="C26" s="539">
        <v>121</v>
      </c>
      <c r="D26" s="5">
        <v>120</v>
      </c>
      <c r="E26" s="135">
        <v>66</v>
      </c>
      <c r="F26" s="541">
        <f t="shared" si="0"/>
        <v>2090</v>
      </c>
      <c r="G26" s="137">
        <f xml:space="preserve"> F26/F36</f>
        <v>9.8570956940055646E-3</v>
      </c>
      <c r="H26" s="101">
        <v>149</v>
      </c>
      <c r="I26" s="30"/>
      <c r="J26" s="30"/>
      <c r="K26" s="30"/>
    </row>
    <row r="27" spans="1:11" ht="18" customHeight="1" x14ac:dyDescent="0.25">
      <c r="A27" s="538" t="s">
        <v>50</v>
      </c>
      <c r="B27" s="33">
        <v>1102</v>
      </c>
      <c r="C27" s="539">
        <v>611</v>
      </c>
      <c r="D27" s="5">
        <v>1</v>
      </c>
      <c r="E27" s="135">
        <v>17</v>
      </c>
      <c r="F27" s="541">
        <f t="shared" si="0"/>
        <v>1731</v>
      </c>
      <c r="G27" s="137">
        <f xml:space="preserve"> F27/F36</f>
        <v>8.1639390652266195E-3</v>
      </c>
      <c r="H27" s="101">
        <v>54</v>
      </c>
      <c r="I27" s="30"/>
      <c r="J27" s="30"/>
      <c r="K27" s="30"/>
    </row>
    <row r="28" spans="1:11" ht="18" customHeight="1" x14ac:dyDescent="0.25">
      <c r="A28" s="538" t="s">
        <v>44</v>
      </c>
      <c r="B28" s="1">
        <v>405</v>
      </c>
      <c r="C28" s="539">
        <v>537</v>
      </c>
      <c r="D28" s="5">
        <v>9</v>
      </c>
      <c r="E28" s="135">
        <v>14</v>
      </c>
      <c r="F28" s="541">
        <f xml:space="preserve"> B28+C28+D28+E28</f>
        <v>965</v>
      </c>
      <c r="G28" s="137">
        <f xml:space="preserve"> F28/F36</f>
        <v>4.5512427486676414E-3</v>
      </c>
      <c r="H28" s="101">
        <v>17</v>
      </c>
      <c r="I28" s="30"/>
      <c r="J28" s="30"/>
      <c r="K28" s="30"/>
    </row>
    <row r="29" spans="1:11" ht="18" customHeight="1" x14ac:dyDescent="0.25">
      <c r="A29" s="538" t="s">
        <v>43</v>
      </c>
      <c r="B29" s="1">
        <v>978</v>
      </c>
      <c r="C29" s="539">
        <v>0</v>
      </c>
      <c r="D29" s="5">
        <v>68</v>
      </c>
      <c r="E29" s="135">
        <v>60</v>
      </c>
      <c r="F29" s="541">
        <f t="shared" si="0"/>
        <v>1106</v>
      </c>
      <c r="G29" s="137">
        <f xml:space="preserve"> F29/F36</f>
        <v>5.2162429844833276E-3</v>
      </c>
      <c r="H29" s="101">
        <v>116</v>
      </c>
      <c r="I29" s="30"/>
      <c r="J29" s="30"/>
      <c r="K29" s="30"/>
    </row>
    <row r="30" spans="1:11" ht="18" customHeight="1" x14ac:dyDescent="0.25">
      <c r="A30" s="538" t="s">
        <v>546</v>
      </c>
      <c r="B30" s="1">
        <v>553</v>
      </c>
      <c r="C30" s="539">
        <v>509</v>
      </c>
      <c r="D30" s="5">
        <v>0</v>
      </c>
      <c r="E30" s="135">
        <v>0</v>
      </c>
      <c r="F30" s="541">
        <f t="shared" si="0"/>
        <v>1062</v>
      </c>
      <c r="G30" s="137">
        <f xml:space="preserve"> F30/F36</f>
        <v>5.0087251803989999E-3</v>
      </c>
      <c r="H30" s="101">
        <v>71</v>
      </c>
      <c r="I30" s="30"/>
      <c r="J30" s="30"/>
      <c r="K30" s="30"/>
    </row>
    <row r="31" spans="1:11" ht="18" customHeight="1" x14ac:dyDescent="0.25">
      <c r="A31" s="538" t="s">
        <v>45</v>
      </c>
      <c r="B31" s="1">
        <v>582</v>
      </c>
      <c r="C31" s="539">
        <v>0</v>
      </c>
      <c r="D31" s="5">
        <v>65</v>
      </c>
      <c r="E31" s="135">
        <v>25</v>
      </c>
      <c r="F31" s="541">
        <f t="shared" si="0"/>
        <v>672</v>
      </c>
      <c r="G31" s="137">
        <f xml:space="preserve"> F31/F36</f>
        <v>3.1693628260151866E-3</v>
      </c>
      <c r="H31" s="101">
        <v>73</v>
      </c>
      <c r="I31" s="30"/>
      <c r="J31" s="30"/>
      <c r="K31" s="30"/>
    </row>
    <row r="32" spans="1:11" ht="18" customHeight="1" x14ac:dyDescent="0.25">
      <c r="A32" s="538" t="s">
        <v>173</v>
      </c>
      <c r="B32" s="1">
        <v>535</v>
      </c>
      <c r="C32" s="539">
        <v>0</v>
      </c>
      <c r="D32" s="5">
        <v>35</v>
      </c>
      <c r="E32" s="135">
        <v>43</v>
      </c>
      <c r="F32" s="541">
        <f t="shared" si="0"/>
        <v>613</v>
      </c>
      <c r="G32" s="137">
        <f xml:space="preserve"> F32/F36</f>
        <v>2.8911003159930197E-3</v>
      </c>
      <c r="H32" s="101">
        <v>42</v>
      </c>
      <c r="I32" s="30"/>
      <c r="J32" s="30"/>
    </row>
    <row r="33" spans="1:12" ht="18" customHeight="1" x14ac:dyDescent="0.25">
      <c r="A33" s="538" t="s">
        <v>395</v>
      </c>
      <c r="B33" s="1">
        <v>58</v>
      </c>
      <c r="C33" s="539">
        <v>0</v>
      </c>
      <c r="D33" s="5">
        <v>0</v>
      </c>
      <c r="E33" s="135">
        <v>0</v>
      </c>
      <c r="F33" s="541">
        <f t="shared" si="0"/>
        <v>58</v>
      </c>
      <c r="G33" s="137">
        <f xml:space="preserve"> F33/F36</f>
        <v>2.7354619629297742E-4</v>
      </c>
      <c r="H33" s="101">
        <v>3</v>
      </c>
      <c r="I33" s="30"/>
      <c r="J33" s="30"/>
      <c r="K33" s="30"/>
    </row>
    <row r="34" spans="1:12" ht="18" customHeight="1" x14ac:dyDescent="0.25">
      <c r="A34" s="538" t="s">
        <v>396</v>
      </c>
      <c r="B34" s="1">
        <v>10</v>
      </c>
      <c r="C34" s="539">
        <v>0</v>
      </c>
      <c r="D34" s="5">
        <v>0</v>
      </c>
      <c r="E34" s="135">
        <v>0</v>
      </c>
      <c r="F34" s="541">
        <f t="shared" si="0"/>
        <v>10</v>
      </c>
      <c r="G34" s="137">
        <f>F34/F36</f>
        <v>4.716313729189266E-5</v>
      </c>
      <c r="H34" s="101">
        <v>0</v>
      </c>
      <c r="I34" s="30"/>
      <c r="J34" s="30"/>
      <c r="K34" s="30"/>
    </row>
    <row r="35" spans="1:12" ht="30.75" customHeight="1" thickBot="1" x14ac:dyDescent="0.3">
      <c r="A35" s="870" t="s">
        <v>588</v>
      </c>
      <c r="B35" s="2">
        <v>11</v>
      </c>
      <c r="C35" s="809">
        <v>4</v>
      </c>
      <c r="D35" s="447">
        <v>0</v>
      </c>
      <c r="E35" s="810">
        <v>0</v>
      </c>
      <c r="F35" s="811">
        <f t="shared" si="0"/>
        <v>15</v>
      </c>
      <c r="G35" s="812">
        <f>F35/F36</f>
        <v>7.0744705937838986E-5</v>
      </c>
      <c r="H35" s="813">
        <v>6</v>
      </c>
      <c r="I35" s="30"/>
      <c r="J35" s="30"/>
      <c r="K35" s="30"/>
      <c r="L35" s="30"/>
    </row>
    <row r="36" spans="1:12" ht="18" customHeight="1" thickBot="1" x14ac:dyDescent="0.3">
      <c r="A36" s="458" t="s">
        <v>6</v>
      </c>
      <c r="B36" s="123">
        <f t="shared" ref="B36:H36" si="1">SUM(B4:B35)</f>
        <v>137023</v>
      </c>
      <c r="C36" s="549">
        <f t="shared" si="1"/>
        <v>63216</v>
      </c>
      <c r="D36" s="128">
        <f t="shared" si="1"/>
        <v>6485</v>
      </c>
      <c r="E36" s="550">
        <f t="shared" si="1"/>
        <v>5306</v>
      </c>
      <c r="F36" s="551">
        <f>SUM(F4:F35)</f>
        <v>212030</v>
      </c>
      <c r="G36" s="138">
        <f t="shared" si="1"/>
        <v>1.0000000000000002</v>
      </c>
      <c r="H36" s="552">
        <f t="shared" si="1"/>
        <v>9239</v>
      </c>
      <c r="I36" s="30"/>
      <c r="J36" s="30"/>
    </row>
    <row r="37" spans="1:12" ht="18" customHeight="1" thickBot="1" x14ac:dyDescent="0.3">
      <c r="A37" s="83"/>
      <c r="B37" s="544">
        <f xml:space="preserve"> B36/F36</f>
        <v>0.6462434561147008</v>
      </c>
      <c r="C37" s="545">
        <f xml:space="preserve"> C36/F36</f>
        <v>0.29814648870442861</v>
      </c>
      <c r="D37" s="546">
        <f xml:space="preserve"> D36/F36</f>
        <v>3.0585294533792388E-2</v>
      </c>
      <c r="E37" s="547">
        <f xml:space="preserve"> E36/F36</f>
        <v>2.5024760647078245E-2</v>
      </c>
      <c r="F37" s="548">
        <f>SUM(B37:E37)</f>
        <v>1</v>
      </c>
      <c r="G37" s="83"/>
      <c r="H37" s="83"/>
    </row>
    <row r="38" spans="1:12" x14ac:dyDescent="0.25">
      <c r="H38" s="18" t="s">
        <v>24</v>
      </c>
    </row>
  </sheetData>
  <mergeCells count="6">
    <mergeCell ref="A1:H1"/>
    <mergeCell ref="G2:G3"/>
    <mergeCell ref="B2:C2"/>
    <mergeCell ref="D2:E2"/>
    <mergeCell ref="F2:F3"/>
    <mergeCell ref="H2:H3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23"/>
  <sheetViews>
    <sheetView zoomScaleNormal="100" workbookViewId="0">
      <selection sqref="A1:J1"/>
    </sheetView>
  </sheetViews>
  <sheetFormatPr defaultRowHeight="15" x14ac:dyDescent="0.25"/>
  <cols>
    <col min="1" max="1" width="44.140625" bestFit="1" customWidth="1"/>
    <col min="2" max="10" width="9.5703125" customWidth="1"/>
  </cols>
  <sheetData>
    <row r="1" spans="1:12" ht="47.25" customHeight="1" thickBot="1" x14ac:dyDescent="0.3">
      <c r="A1" s="973" t="s">
        <v>397</v>
      </c>
      <c r="B1" s="973"/>
      <c r="C1" s="973"/>
      <c r="D1" s="973"/>
      <c r="E1" s="973"/>
      <c r="F1" s="973"/>
      <c r="G1" s="973"/>
      <c r="H1" s="973"/>
      <c r="I1" s="973"/>
      <c r="J1" s="973"/>
    </row>
    <row r="2" spans="1:12" ht="15.75" thickBot="1" x14ac:dyDescent="0.3">
      <c r="A2" s="832" t="s">
        <v>19</v>
      </c>
      <c r="B2" s="959" t="s">
        <v>80</v>
      </c>
      <c r="C2" s="960"/>
      <c r="D2" s="960"/>
      <c r="E2" s="961"/>
      <c r="F2" s="959" t="s">
        <v>81</v>
      </c>
      <c r="G2" s="960"/>
      <c r="H2" s="960"/>
      <c r="I2" s="961"/>
      <c r="J2" s="955" t="s">
        <v>18</v>
      </c>
    </row>
    <row r="3" spans="1:12" x14ac:dyDescent="0.25">
      <c r="A3" s="840" t="s">
        <v>83</v>
      </c>
      <c r="B3" s="962" t="s">
        <v>48</v>
      </c>
      <c r="C3" s="963"/>
      <c r="D3" s="962" t="s">
        <v>4</v>
      </c>
      <c r="E3" s="963"/>
      <c r="F3" s="962" t="s">
        <v>48</v>
      </c>
      <c r="G3" s="963"/>
      <c r="H3" s="962" t="s">
        <v>4</v>
      </c>
      <c r="I3" s="963"/>
      <c r="J3" s="956"/>
    </row>
    <row r="4" spans="1:12" ht="30.75" thickBot="1" x14ac:dyDescent="0.3">
      <c r="A4" s="87" t="s">
        <v>21</v>
      </c>
      <c r="B4" s="88" t="s">
        <v>23</v>
      </c>
      <c r="C4" s="89" t="s">
        <v>392</v>
      </c>
      <c r="D4" s="88" t="s">
        <v>23</v>
      </c>
      <c r="E4" s="89" t="s">
        <v>392</v>
      </c>
      <c r="F4" s="88" t="s">
        <v>23</v>
      </c>
      <c r="G4" s="89" t="s">
        <v>392</v>
      </c>
      <c r="H4" s="88" t="s">
        <v>23</v>
      </c>
      <c r="I4" s="89" t="s">
        <v>392</v>
      </c>
      <c r="J4" s="957"/>
    </row>
    <row r="5" spans="1:12" x14ac:dyDescent="0.25">
      <c r="A5" s="553" t="s">
        <v>11</v>
      </c>
      <c r="B5" s="91">
        <v>1967</v>
      </c>
      <c r="C5" s="92">
        <v>1493</v>
      </c>
      <c r="D5" s="139">
        <v>109</v>
      </c>
      <c r="E5" s="335">
        <v>73</v>
      </c>
      <c r="F5" s="335">
        <v>0</v>
      </c>
      <c r="G5" s="335">
        <v>0</v>
      </c>
      <c r="H5" s="335">
        <v>0</v>
      </c>
      <c r="I5" s="92">
        <v>0</v>
      </c>
      <c r="J5" s="140">
        <f>+B5+D5+F5+H5</f>
        <v>2076</v>
      </c>
    </row>
    <row r="6" spans="1:12" x14ac:dyDescent="0.25">
      <c r="A6" s="554" t="s">
        <v>12</v>
      </c>
      <c r="B6" s="32">
        <v>2817</v>
      </c>
      <c r="C6" s="97">
        <v>2479</v>
      </c>
      <c r="D6" s="33">
        <v>207</v>
      </c>
      <c r="E6" s="336">
        <v>117</v>
      </c>
      <c r="F6" s="336">
        <v>134</v>
      </c>
      <c r="G6" s="336">
        <v>47</v>
      </c>
      <c r="H6" s="336">
        <v>0</v>
      </c>
      <c r="I6" s="97">
        <v>0</v>
      </c>
      <c r="J6" s="136">
        <f t="shared" ref="J6:J11" si="0">+B6+D6+F6+H6</f>
        <v>3158</v>
      </c>
    </row>
    <row r="7" spans="1:12" x14ac:dyDescent="0.25">
      <c r="A7" s="554" t="s">
        <v>13</v>
      </c>
      <c r="B7" s="32">
        <v>32825</v>
      </c>
      <c r="C7" s="97">
        <v>22871</v>
      </c>
      <c r="D7" s="33">
        <v>609</v>
      </c>
      <c r="E7" s="336">
        <v>324</v>
      </c>
      <c r="F7" s="336">
        <v>11147</v>
      </c>
      <c r="G7" s="336">
        <v>1400</v>
      </c>
      <c r="H7" s="336">
        <v>37</v>
      </c>
      <c r="I7" s="97">
        <v>11</v>
      </c>
      <c r="J7" s="136">
        <f t="shared" si="0"/>
        <v>44618</v>
      </c>
    </row>
    <row r="8" spans="1:12" x14ac:dyDescent="0.25">
      <c r="A8" s="554" t="s">
        <v>14</v>
      </c>
      <c r="B8" s="32">
        <v>12126</v>
      </c>
      <c r="C8" s="97">
        <v>10377</v>
      </c>
      <c r="D8" s="33">
        <v>448</v>
      </c>
      <c r="E8" s="336">
        <v>313</v>
      </c>
      <c r="F8" s="336">
        <v>32</v>
      </c>
      <c r="G8" s="336">
        <v>14</v>
      </c>
      <c r="H8" s="336">
        <v>0</v>
      </c>
      <c r="I8" s="97">
        <v>0</v>
      </c>
      <c r="J8" s="136">
        <f t="shared" si="0"/>
        <v>12606</v>
      </c>
    </row>
    <row r="9" spans="1:12" x14ac:dyDescent="0.25">
      <c r="A9" s="554" t="s">
        <v>15</v>
      </c>
      <c r="B9" s="32">
        <v>1626</v>
      </c>
      <c r="C9" s="97">
        <v>1408</v>
      </c>
      <c r="D9" s="33">
        <v>70</v>
      </c>
      <c r="E9" s="336">
        <v>50</v>
      </c>
      <c r="F9" s="336">
        <v>0</v>
      </c>
      <c r="G9" s="336">
        <v>0</v>
      </c>
      <c r="H9" s="336">
        <v>0</v>
      </c>
      <c r="I9" s="97">
        <v>0</v>
      </c>
      <c r="J9" s="136">
        <f t="shared" si="0"/>
        <v>1696</v>
      </c>
    </row>
    <row r="10" spans="1:12" x14ac:dyDescent="0.25">
      <c r="A10" s="554" t="s">
        <v>16</v>
      </c>
      <c r="B10" s="32">
        <v>470</v>
      </c>
      <c r="C10" s="97">
        <v>318</v>
      </c>
      <c r="D10" s="33">
        <v>15</v>
      </c>
      <c r="E10" s="336">
        <v>7</v>
      </c>
      <c r="F10" s="336">
        <v>1083</v>
      </c>
      <c r="G10" s="336">
        <v>526</v>
      </c>
      <c r="H10" s="336">
        <v>0</v>
      </c>
      <c r="I10" s="97">
        <v>0</v>
      </c>
      <c r="J10" s="136">
        <f t="shared" si="0"/>
        <v>1568</v>
      </c>
    </row>
    <row r="11" spans="1:12" ht="15.75" thickBot="1" x14ac:dyDescent="0.3">
      <c r="A11" s="555" t="s">
        <v>17</v>
      </c>
      <c r="B11" s="103">
        <v>2912</v>
      </c>
      <c r="C11" s="104">
        <v>1905</v>
      </c>
      <c r="D11" s="141">
        <v>113</v>
      </c>
      <c r="E11" s="337">
        <v>50</v>
      </c>
      <c r="F11" s="337">
        <v>1280</v>
      </c>
      <c r="G11" s="337">
        <v>67</v>
      </c>
      <c r="H11" s="337">
        <v>34</v>
      </c>
      <c r="I11" s="104">
        <v>4</v>
      </c>
      <c r="J11" s="142">
        <f t="shared" si="0"/>
        <v>4339</v>
      </c>
    </row>
    <row r="12" spans="1:12" ht="15.75" thickBot="1" x14ac:dyDescent="0.3">
      <c r="A12" s="83"/>
      <c r="B12" s="143">
        <f>+SUM(B5:B11)</f>
        <v>54743</v>
      </c>
      <c r="C12" s="144">
        <f t="shared" ref="C12:J12" si="1">+SUM(C5:C11)</f>
        <v>40851</v>
      </c>
      <c r="D12" s="143">
        <f t="shared" si="1"/>
        <v>1571</v>
      </c>
      <c r="E12" s="144">
        <f t="shared" si="1"/>
        <v>934</v>
      </c>
      <c r="F12" s="143">
        <f t="shared" si="1"/>
        <v>13676</v>
      </c>
      <c r="G12" s="144">
        <f t="shared" si="1"/>
        <v>2054</v>
      </c>
      <c r="H12" s="338">
        <f t="shared" si="1"/>
        <v>71</v>
      </c>
      <c r="I12" s="145">
        <f t="shared" si="1"/>
        <v>15</v>
      </c>
      <c r="J12" s="146">
        <f t="shared" si="1"/>
        <v>70061</v>
      </c>
      <c r="L12" s="52"/>
    </row>
    <row r="13" spans="1:12" x14ac:dyDescent="0.25">
      <c r="A13" s="83"/>
      <c r="B13" s="83"/>
      <c r="C13" s="83"/>
      <c r="D13" s="83"/>
      <c r="E13" s="83"/>
      <c r="F13" s="83"/>
      <c r="G13" s="83"/>
      <c r="H13" s="83"/>
      <c r="I13" s="20"/>
      <c r="J13" s="20"/>
    </row>
    <row r="14" spans="1:12" ht="15.75" thickBot="1" x14ac:dyDescent="0.3">
      <c r="A14" s="108" t="s">
        <v>22</v>
      </c>
      <c r="B14" s="83"/>
      <c r="C14" s="83"/>
      <c r="D14" s="83"/>
      <c r="E14" s="83"/>
      <c r="F14" s="83"/>
      <c r="G14" s="83"/>
      <c r="H14" s="83"/>
      <c r="I14" s="83"/>
      <c r="J14" s="83"/>
    </row>
    <row r="15" spans="1:12" x14ac:dyDescent="0.25">
      <c r="A15" s="556" t="s">
        <v>11</v>
      </c>
      <c r="B15" s="147">
        <f t="shared" ref="B15:J15" si="2">+B5/SUM($J$5:$J$11)</f>
        <v>2.807553417735973E-2</v>
      </c>
      <c r="C15" s="148">
        <f t="shared" si="2"/>
        <v>2.1310001284594853E-2</v>
      </c>
      <c r="D15" s="147">
        <f t="shared" si="2"/>
        <v>1.5557870998130201E-3</v>
      </c>
      <c r="E15" s="148">
        <f t="shared" si="2"/>
        <v>1.0419491585903712E-3</v>
      </c>
      <c r="F15" s="147">
        <f t="shared" si="2"/>
        <v>0</v>
      </c>
      <c r="G15" s="148">
        <f t="shared" si="2"/>
        <v>0</v>
      </c>
      <c r="H15" s="147">
        <f t="shared" si="2"/>
        <v>0</v>
      </c>
      <c r="I15" s="148">
        <f t="shared" si="2"/>
        <v>0</v>
      </c>
      <c r="J15" s="149">
        <f t="shared" si="2"/>
        <v>2.9631321277172749E-2</v>
      </c>
    </row>
    <row r="16" spans="1:12" x14ac:dyDescent="0.25">
      <c r="A16" s="557" t="s">
        <v>12</v>
      </c>
      <c r="B16" s="150">
        <f t="shared" ref="B16:J16" si="3">+B6/SUM($J$5:$J$11)</f>
        <v>4.0207818900672272E-2</v>
      </c>
      <c r="C16" s="151">
        <f t="shared" si="3"/>
        <v>3.5383451563637404E-2</v>
      </c>
      <c r="D16" s="150">
        <f t="shared" si="3"/>
        <v>2.9545681620302307E-3</v>
      </c>
      <c r="E16" s="151">
        <f t="shared" si="3"/>
        <v>1.6699733089736088E-3</v>
      </c>
      <c r="F16" s="150">
        <f t="shared" si="3"/>
        <v>1.9126190034398595E-3</v>
      </c>
      <c r="G16" s="151">
        <f t="shared" si="3"/>
        <v>6.7084397881845821E-4</v>
      </c>
      <c r="H16" s="150">
        <f t="shared" si="3"/>
        <v>0</v>
      </c>
      <c r="I16" s="151">
        <f t="shared" si="3"/>
        <v>0</v>
      </c>
      <c r="J16" s="152">
        <f t="shared" si="3"/>
        <v>4.5075006066142363E-2</v>
      </c>
    </row>
    <row r="17" spans="1:10" x14ac:dyDescent="0.25">
      <c r="A17" s="557" t="s">
        <v>13</v>
      </c>
      <c r="B17" s="150">
        <f t="shared" ref="B17:J21" si="4">+B7/SUM($J$5:$J$11)</f>
        <v>0.46852028946204022</v>
      </c>
      <c r="C17" s="151">
        <f t="shared" si="4"/>
        <v>0.32644409871397784</v>
      </c>
      <c r="D17" s="150">
        <f t="shared" si="4"/>
        <v>8.6924251723498099E-3</v>
      </c>
      <c r="E17" s="151">
        <f t="shared" si="4"/>
        <v>4.6245414710038395E-3</v>
      </c>
      <c r="F17" s="150">
        <f t="shared" si="4"/>
        <v>0.15910420918913518</v>
      </c>
      <c r="G17" s="151">
        <f t="shared" si="4"/>
        <v>1.9982586603103009E-2</v>
      </c>
      <c r="H17" s="150">
        <f t="shared" si="4"/>
        <v>5.281112173677224E-4</v>
      </c>
      <c r="I17" s="151">
        <f t="shared" si="4"/>
        <v>1.5700603759580937E-4</v>
      </c>
      <c r="J17" s="152">
        <f t="shared" si="4"/>
        <v>0.63684503504089296</v>
      </c>
    </row>
    <row r="18" spans="1:10" x14ac:dyDescent="0.25">
      <c r="A18" s="557" t="s">
        <v>14</v>
      </c>
      <c r="B18" s="150">
        <f t="shared" si="4"/>
        <v>0.17307774653516222</v>
      </c>
      <c r="C18" s="151">
        <f t="shared" si="4"/>
        <v>0.14811378655742852</v>
      </c>
      <c r="D18" s="150">
        <f t="shared" si="4"/>
        <v>6.3944277129929636E-3</v>
      </c>
      <c r="E18" s="151">
        <f t="shared" si="4"/>
        <v>4.4675354334080299E-3</v>
      </c>
      <c r="F18" s="150">
        <f t="shared" si="4"/>
        <v>4.5674483664235449E-4</v>
      </c>
      <c r="G18" s="151">
        <f t="shared" si="4"/>
        <v>1.9982586603103011E-4</v>
      </c>
      <c r="H18" s="150">
        <f t="shared" si="4"/>
        <v>0</v>
      </c>
      <c r="I18" s="151">
        <f t="shared" si="4"/>
        <v>0</v>
      </c>
      <c r="J18" s="152">
        <f t="shared" si="4"/>
        <v>0.17992891908479752</v>
      </c>
    </row>
    <row r="19" spans="1:10" x14ac:dyDescent="0.25">
      <c r="A19" s="557" t="s">
        <v>15</v>
      </c>
      <c r="B19" s="150">
        <f t="shared" si="4"/>
        <v>2.3208347011889639E-2</v>
      </c>
      <c r="C19" s="151">
        <f t="shared" si="4"/>
        <v>2.0096772812263599E-2</v>
      </c>
      <c r="D19" s="150">
        <f t="shared" si="4"/>
        <v>9.9912933015515047E-4</v>
      </c>
      <c r="E19" s="151">
        <f t="shared" si="4"/>
        <v>7.1366380725367896E-4</v>
      </c>
      <c r="F19" s="150">
        <f t="shared" si="4"/>
        <v>0</v>
      </c>
      <c r="G19" s="151">
        <f t="shared" si="4"/>
        <v>0</v>
      </c>
      <c r="H19" s="150">
        <f t="shared" si="4"/>
        <v>0</v>
      </c>
      <c r="I19" s="151">
        <f t="shared" si="4"/>
        <v>0</v>
      </c>
      <c r="J19" s="152">
        <f t="shared" si="4"/>
        <v>2.420747634204479E-2</v>
      </c>
    </row>
    <row r="20" spans="1:10" x14ac:dyDescent="0.25">
      <c r="A20" s="557" t="s">
        <v>16</v>
      </c>
      <c r="B20" s="150">
        <f t="shared" si="4"/>
        <v>6.7084397881845819E-3</v>
      </c>
      <c r="C20" s="151">
        <f t="shared" si="4"/>
        <v>4.5389018141333984E-3</v>
      </c>
      <c r="D20" s="150">
        <f t="shared" si="4"/>
        <v>2.1409914217610369E-4</v>
      </c>
      <c r="E20" s="151">
        <f t="shared" si="4"/>
        <v>9.9912933015515055E-5</v>
      </c>
      <c r="F20" s="150">
        <f t="shared" si="4"/>
        <v>1.5457958065114685E-2</v>
      </c>
      <c r="G20" s="151">
        <f t="shared" si="4"/>
        <v>7.5077432523087025E-3</v>
      </c>
      <c r="H20" s="150">
        <f t="shared" si="4"/>
        <v>0</v>
      </c>
      <c r="I20" s="151">
        <f t="shared" si="4"/>
        <v>0</v>
      </c>
      <c r="J20" s="152">
        <f t="shared" si="4"/>
        <v>2.2380496995475372E-2</v>
      </c>
    </row>
    <row r="21" spans="1:10" ht="15.75" thickBot="1" x14ac:dyDescent="0.3">
      <c r="A21" s="558" t="s">
        <v>17</v>
      </c>
      <c r="B21" s="153">
        <f t="shared" si="4"/>
        <v>4.1563780134454262E-2</v>
      </c>
      <c r="C21" s="154">
        <f t="shared" si="4"/>
        <v>2.7190591056365166E-2</v>
      </c>
      <c r="D21" s="153">
        <f t="shared" si="4"/>
        <v>1.6128802043933145E-3</v>
      </c>
      <c r="E21" s="154">
        <f t="shared" si="4"/>
        <v>7.1366380725367896E-4</v>
      </c>
      <c r="F21" s="153">
        <f t="shared" si="4"/>
        <v>1.8269793465694181E-2</v>
      </c>
      <c r="G21" s="154">
        <f t="shared" si="4"/>
        <v>9.5630950171992973E-4</v>
      </c>
      <c r="H21" s="153">
        <f t="shared" si="4"/>
        <v>4.8529138893250166E-4</v>
      </c>
      <c r="I21" s="154">
        <f t="shared" si="4"/>
        <v>5.7093104580294312E-5</v>
      </c>
      <c r="J21" s="155">
        <f t="shared" si="4"/>
        <v>6.1931745193474261E-2</v>
      </c>
    </row>
    <row r="22" spans="1:10" ht="15.75" thickBot="1" x14ac:dyDescent="0.3">
      <c r="A22" s="83"/>
      <c r="B22" s="156">
        <f>+SUM(B15:B21)</f>
        <v>0.78136195600976299</v>
      </c>
      <c r="C22" s="157">
        <f t="shared" ref="C22:J22" si="5">+SUM(C15:C21)</f>
        <v>0.58307760380240081</v>
      </c>
      <c r="D22" s="156">
        <f t="shared" si="5"/>
        <v>2.2423316823910595E-2</v>
      </c>
      <c r="E22" s="157">
        <f t="shared" si="5"/>
        <v>1.333123991949872E-2</v>
      </c>
      <c r="F22" s="156">
        <f t="shared" si="5"/>
        <v>0.19520132456002626</v>
      </c>
      <c r="G22" s="157">
        <f t="shared" si="5"/>
        <v>2.9317309201981126E-2</v>
      </c>
      <c r="H22" s="156">
        <f t="shared" si="5"/>
        <v>1.0134026063002241E-3</v>
      </c>
      <c r="I22" s="157">
        <f t="shared" si="5"/>
        <v>2.1409914217610367E-4</v>
      </c>
      <c r="J22" s="138">
        <f t="shared" si="5"/>
        <v>0.99999999999999989</v>
      </c>
    </row>
    <row r="23" spans="1:10" x14ac:dyDescent="0.25">
      <c r="J23" s="18" t="s">
        <v>24</v>
      </c>
    </row>
  </sheetData>
  <mergeCells count="8">
    <mergeCell ref="A1:J1"/>
    <mergeCell ref="B2:E2"/>
    <mergeCell ref="F2:I2"/>
    <mergeCell ref="J2:J4"/>
    <mergeCell ref="B3:C3"/>
    <mergeCell ref="D3:E3"/>
    <mergeCell ref="F3:G3"/>
    <mergeCell ref="H3:I3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41"/>
  <sheetViews>
    <sheetView zoomScaleNormal="100" workbookViewId="0">
      <selection sqref="A1:I1"/>
    </sheetView>
  </sheetViews>
  <sheetFormatPr defaultRowHeight="15" x14ac:dyDescent="0.25"/>
  <cols>
    <col min="1" max="1" width="17.5703125" bestFit="1" customWidth="1"/>
    <col min="2" max="7" width="7.85546875" customWidth="1"/>
    <col min="8" max="8" width="8.5703125" customWidth="1"/>
    <col min="9" max="9" width="9.42578125" customWidth="1"/>
  </cols>
  <sheetData>
    <row r="1" spans="1:13" ht="54" customHeight="1" thickBot="1" x14ac:dyDescent="0.3">
      <c r="A1" s="964" t="s">
        <v>398</v>
      </c>
      <c r="B1" s="964"/>
      <c r="C1" s="964"/>
      <c r="D1" s="964"/>
      <c r="E1" s="964"/>
      <c r="F1" s="964"/>
      <c r="G1" s="964"/>
      <c r="H1" s="964"/>
      <c r="I1" s="964"/>
    </row>
    <row r="2" spans="1:13" ht="15" customHeight="1" x14ac:dyDescent="0.25">
      <c r="A2" s="270" t="s">
        <v>46</v>
      </c>
      <c r="B2" s="974" t="s">
        <v>1</v>
      </c>
      <c r="C2" s="975"/>
      <c r="D2" s="976" t="s">
        <v>3</v>
      </c>
      <c r="E2" s="977"/>
      <c r="F2" s="974" t="s">
        <v>4</v>
      </c>
      <c r="G2" s="977"/>
      <c r="H2" s="978" t="s">
        <v>18</v>
      </c>
      <c r="I2" s="980" t="s">
        <v>84</v>
      </c>
    </row>
    <row r="3" spans="1:13" ht="15" customHeight="1" thickBot="1" x14ac:dyDescent="0.3">
      <c r="A3" s="134" t="s">
        <v>47</v>
      </c>
      <c r="B3" s="158" t="s">
        <v>9</v>
      </c>
      <c r="C3" s="159" t="s">
        <v>10</v>
      </c>
      <c r="D3" s="160" t="s">
        <v>9</v>
      </c>
      <c r="E3" s="161" t="s">
        <v>10</v>
      </c>
      <c r="F3" s="158" t="s">
        <v>9</v>
      </c>
      <c r="G3" s="161" t="s">
        <v>10</v>
      </c>
      <c r="H3" s="979"/>
      <c r="I3" s="981"/>
    </row>
    <row r="4" spans="1:13" ht="20.100000000000001" customHeight="1" x14ac:dyDescent="0.25">
      <c r="A4" s="553" t="s">
        <v>25</v>
      </c>
      <c r="B4" s="91">
        <v>2470</v>
      </c>
      <c r="C4" s="162">
        <v>494</v>
      </c>
      <c r="D4" s="91">
        <v>3090</v>
      </c>
      <c r="E4" s="92">
        <v>964</v>
      </c>
      <c r="F4" s="139">
        <v>175</v>
      </c>
      <c r="G4" s="162">
        <v>141</v>
      </c>
      <c r="H4" s="140">
        <f t="shared" ref="H4:H34" si="0">SUM(B4:G4)</f>
        <v>7334</v>
      </c>
      <c r="I4" s="163">
        <f>H4/H34</f>
        <v>0.10468020724796963</v>
      </c>
      <c r="M4" s="30"/>
    </row>
    <row r="5" spans="1:13" ht="20.100000000000001" customHeight="1" x14ac:dyDescent="0.25">
      <c r="A5" s="554" t="s">
        <v>602</v>
      </c>
      <c r="B5" s="32">
        <v>157</v>
      </c>
      <c r="C5" s="164">
        <v>3904</v>
      </c>
      <c r="D5" s="32">
        <v>0</v>
      </c>
      <c r="E5" s="97">
        <v>2344</v>
      </c>
      <c r="F5" s="33">
        <v>7</v>
      </c>
      <c r="G5" s="164">
        <v>44</v>
      </c>
      <c r="H5" s="136">
        <f t="shared" si="0"/>
        <v>6456</v>
      </c>
      <c r="I5" s="165">
        <f>H5/H34</f>
        <v>9.2148270792595022E-2</v>
      </c>
      <c r="M5" s="30"/>
    </row>
    <row r="6" spans="1:13" ht="20.100000000000001" customHeight="1" x14ac:dyDescent="0.25">
      <c r="A6" s="554" t="s">
        <v>26</v>
      </c>
      <c r="B6" s="32">
        <v>2098</v>
      </c>
      <c r="C6" s="164">
        <v>81</v>
      </c>
      <c r="D6" s="32">
        <v>2281</v>
      </c>
      <c r="E6" s="97">
        <v>2</v>
      </c>
      <c r="F6" s="33">
        <v>153</v>
      </c>
      <c r="G6" s="164">
        <v>59</v>
      </c>
      <c r="H6" s="136">
        <f t="shared" si="0"/>
        <v>4674</v>
      </c>
      <c r="I6" s="165">
        <f>H6/H34</f>
        <v>6.6713292702073906E-2</v>
      </c>
      <c r="M6" s="30"/>
    </row>
    <row r="7" spans="1:13" ht="20.100000000000001" customHeight="1" x14ac:dyDescent="0.25">
      <c r="A7" s="554" t="s">
        <v>27</v>
      </c>
      <c r="B7" s="32">
        <v>2182</v>
      </c>
      <c r="C7" s="164">
        <v>455</v>
      </c>
      <c r="D7" s="32">
        <v>1866</v>
      </c>
      <c r="E7" s="97">
        <v>572</v>
      </c>
      <c r="F7" s="33">
        <v>97</v>
      </c>
      <c r="G7" s="164">
        <v>63</v>
      </c>
      <c r="H7" s="136">
        <f t="shared" si="0"/>
        <v>5235</v>
      </c>
      <c r="I7" s="165">
        <f>H7/H34</f>
        <v>7.472060061946019E-2</v>
      </c>
      <c r="M7" s="30"/>
    </row>
    <row r="8" spans="1:13" ht="28.5" customHeight="1" x14ac:dyDescent="0.25">
      <c r="A8" s="871" t="s">
        <v>172</v>
      </c>
      <c r="B8" s="32">
        <v>1538</v>
      </c>
      <c r="C8" s="164">
        <v>724</v>
      </c>
      <c r="D8" s="32">
        <v>1383</v>
      </c>
      <c r="E8" s="97">
        <v>800</v>
      </c>
      <c r="F8" s="33">
        <v>51</v>
      </c>
      <c r="G8" s="164">
        <v>22</v>
      </c>
      <c r="H8" s="136">
        <f t="shared" si="0"/>
        <v>4518</v>
      </c>
      <c r="I8" s="165">
        <f>H8/H34</f>
        <v>6.4486661623442423E-2</v>
      </c>
      <c r="M8" s="30"/>
    </row>
    <row r="9" spans="1:13" ht="20.100000000000001" customHeight="1" x14ac:dyDescent="0.25">
      <c r="A9" s="554" t="s">
        <v>29</v>
      </c>
      <c r="B9" s="32">
        <v>1880</v>
      </c>
      <c r="C9" s="164">
        <v>332</v>
      </c>
      <c r="D9" s="32">
        <v>2161</v>
      </c>
      <c r="E9" s="97">
        <v>475</v>
      </c>
      <c r="F9" s="33">
        <v>50</v>
      </c>
      <c r="G9" s="164">
        <v>55</v>
      </c>
      <c r="H9" s="136">
        <f t="shared" si="0"/>
        <v>4953</v>
      </c>
      <c r="I9" s="165">
        <f>H9/H34</f>
        <v>7.0695536746549437E-2</v>
      </c>
      <c r="M9" s="30"/>
    </row>
    <row r="10" spans="1:13" ht="20.100000000000001" customHeight="1" x14ac:dyDescent="0.25">
      <c r="A10" s="554" t="s">
        <v>30</v>
      </c>
      <c r="B10" s="32">
        <v>1373</v>
      </c>
      <c r="C10" s="164">
        <v>749</v>
      </c>
      <c r="D10" s="32">
        <v>1218</v>
      </c>
      <c r="E10" s="97">
        <v>656</v>
      </c>
      <c r="F10" s="33">
        <v>39</v>
      </c>
      <c r="G10" s="164">
        <v>45</v>
      </c>
      <c r="H10" s="136">
        <f t="shared" si="0"/>
        <v>4080</v>
      </c>
      <c r="I10" s="165">
        <f>H10/H34</f>
        <v>5.8234966671900201E-2</v>
      </c>
      <c r="M10" s="30"/>
    </row>
    <row r="11" spans="1:13" ht="20.100000000000001" customHeight="1" x14ac:dyDescent="0.25">
      <c r="A11" s="554" t="s">
        <v>31</v>
      </c>
      <c r="B11" s="32">
        <v>1257</v>
      </c>
      <c r="C11" s="164">
        <v>689</v>
      </c>
      <c r="D11" s="32">
        <v>1114</v>
      </c>
      <c r="E11" s="97">
        <v>642</v>
      </c>
      <c r="F11" s="33">
        <v>26</v>
      </c>
      <c r="G11" s="164">
        <v>35</v>
      </c>
      <c r="H11" s="136">
        <f t="shared" si="0"/>
        <v>3763</v>
      </c>
      <c r="I11" s="165">
        <f>H11/H34</f>
        <v>5.3710338133911878E-2</v>
      </c>
      <c r="M11" s="30"/>
    </row>
    <row r="12" spans="1:13" ht="20.100000000000001" customHeight="1" x14ac:dyDescent="0.25">
      <c r="A12" s="554" t="s">
        <v>49</v>
      </c>
      <c r="B12" s="32">
        <v>1522</v>
      </c>
      <c r="C12" s="164">
        <v>408</v>
      </c>
      <c r="D12" s="32">
        <v>1135</v>
      </c>
      <c r="E12" s="97">
        <v>264</v>
      </c>
      <c r="F12" s="33">
        <v>84</v>
      </c>
      <c r="G12" s="164">
        <v>38</v>
      </c>
      <c r="H12" s="136">
        <f t="shared" si="0"/>
        <v>3451</v>
      </c>
      <c r="I12" s="165">
        <f>H12/H34</f>
        <v>4.9257075976648919E-2</v>
      </c>
      <c r="M12" s="30"/>
    </row>
    <row r="13" spans="1:13" ht="20.100000000000001" customHeight="1" x14ac:dyDescent="0.25">
      <c r="A13" s="554" t="s">
        <v>32</v>
      </c>
      <c r="B13" s="32">
        <v>1187</v>
      </c>
      <c r="C13" s="164">
        <v>380</v>
      </c>
      <c r="D13" s="32">
        <v>1164</v>
      </c>
      <c r="E13" s="97">
        <v>549</v>
      </c>
      <c r="F13" s="33">
        <v>71</v>
      </c>
      <c r="G13" s="164">
        <v>29</v>
      </c>
      <c r="H13" s="136">
        <f t="shared" si="0"/>
        <v>3380</v>
      </c>
      <c r="I13" s="165">
        <f>H13/H34</f>
        <v>4.8243673370348697E-2</v>
      </c>
      <c r="M13" s="30"/>
    </row>
    <row r="14" spans="1:13" ht="20.100000000000001" customHeight="1" x14ac:dyDescent="0.25">
      <c r="A14" s="554" t="s">
        <v>35</v>
      </c>
      <c r="B14" s="32">
        <v>726</v>
      </c>
      <c r="C14" s="164">
        <v>392</v>
      </c>
      <c r="D14" s="32">
        <v>428</v>
      </c>
      <c r="E14" s="97">
        <v>527</v>
      </c>
      <c r="F14" s="33">
        <v>16</v>
      </c>
      <c r="G14" s="164">
        <v>25</v>
      </c>
      <c r="H14" s="136">
        <f t="shared" si="0"/>
        <v>2114</v>
      </c>
      <c r="I14" s="165">
        <f>H14/H34</f>
        <v>3.0173705770685545E-2</v>
      </c>
      <c r="M14" s="30"/>
    </row>
    <row r="15" spans="1:13" ht="20.100000000000001" customHeight="1" x14ac:dyDescent="0.25">
      <c r="A15" s="554" t="s">
        <v>386</v>
      </c>
      <c r="B15" s="32">
        <v>657</v>
      </c>
      <c r="C15" s="164">
        <v>482</v>
      </c>
      <c r="D15" s="32">
        <v>540</v>
      </c>
      <c r="E15" s="97">
        <v>812</v>
      </c>
      <c r="F15" s="33">
        <v>5</v>
      </c>
      <c r="G15" s="164">
        <v>4</v>
      </c>
      <c r="H15" s="136">
        <f t="shared" si="0"/>
        <v>2500</v>
      </c>
      <c r="I15" s="165">
        <f>H15/H34</f>
        <v>3.5683190362683949E-2</v>
      </c>
      <c r="M15" s="30"/>
    </row>
    <row r="16" spans="1:13" ht="20.100000000000001" customHeight="1" x14ac:dyDescent="0.25">
      <c r="A16" s="554" t="s">
        <v>34</v>
      </c>
      <c r="B16" s="32">
        <v>834</v>
      </c>
      <c r="C16" s="164">
        <v>429</v>
      </c>
      <c r="D16" s="32">
        <v>727</v>
      </c>
      <c r="E16" s="97">
        <v>445</v>
      </c>
      <c r="F16" s="33">
        <v>36</v>
      </c>
      <c r="G16" s="164">
        <v>31</v>
      </c>
      <c r="H16" s="136">
        <f t="shared" si="0"/>
        <v>2502</v>
      </c>
      <c r="I16" s="165">
        <f>H16/H34</f>
        <v>3.5711736914974097E-2</v>
      </c>
      <c r="M16" s="30"/>
    </row>
    <row r="17" spans="1:13" ht="20.100000000000001" customHeight="1" x14ac:dyDescent="0.25">
      <c r="A17" s="554" t="s">
        <v>33</v>
      </c>
      <c r="B17" s="32">
        <v>977</v>
      </c>
      <c r="C17" s="164">
        <v>188</v>
      </c>
      <c r="D17" s="32">
        <v>961</v>
      </c>
      <c r="E17" s="97">
        <v>138</v>
      </c>
      <c r="F17" s="33">
        <v>38</v>
      </c>
      <c r="G17" s="164">
        <v>34</v>
      </c>
      <c r="H17" s="136">
        <f t="shared" si="0"/>
        <v>2336</v>
      </c>
      <c r="I17" s="165">
        <f>H17/H34</f>
        <v>3.3342373074891879E-2</v>
      </c>
      <c r="M17" s="30"/>
    </row>
    <row r="18" spans="1:13" ht="20.100000000000001" customHeight="1" x14ac:dyDescent="0.25">
      <c r="A18" s="554" t="s">
        <v>36</v>
      </c>
      <c r="B18" s="32">
        <v>1057</v>
      </c>
      <c r="C18" s="164">
        <v>253</v>
      </c>
      <c r="D18" s="32">
        <v>676</v>
      </c>
      <c r="E18" s="97">
        <v>209</v>
      </c>
      <c r="F18" s="33">
        <v>9</v>
      </c>
      <c r="G18" s="164">
        <v>4</v>
      </c>
      <c r="H18" s="136">
        <f t="shared" si="0"/>
        <v>2208</v>
      </c>
      <c r="I18" s="165">
        <f>H18/H34</f>
        <v>3.1515393728322461E-2</v>
      </c>
      <c r="M18" s="30"/>
    </row>
    <row r="19" spans="1:13" ht="20.100000000000001" customHeight="1" x14ac:dyDescent="0.25">
      <c r="A19" s="554" t="s">
        <v>38</v>
      </c>
      <c r="B19" s="32">
        <v>429</v>
      </c>
      <c r="C19" s="164">
        <v>190</v>
      </c>
      <c r="D19" s="32">
        <v>498</v>
      </c>
      <c r="E19" s="97">
        <v>233</v>
      </c>
      <c r="F19" s="33">
        <v>31</v>
      </c>
      <c r="G19" s="164">
        <v>30</v>
      </c>
      <c r="H19" s="136">
        <f t="shared" si="0"/>
        <v>1411</v>
      </c>
      <c r="I19" s="165">
        <f>H19/H34</f>
        <v>2.0139592640698818E-2</v>
      </c>
      <c r="M19" s="30"/>
    </row>
    <row r="20" spans="1:13" ht="20.100000000000001" customHeight="1" x14ac:dyDescent="0.25">
      <c r="A20" s="554" t="s">
        <v>108</v>
      </c>
      <c r="B20" s="32">
        <v>405</v>
      </c>
      <c r="C20" s="164">
        <v>476</v>
      </c>
      <c r="D20" s="32">
        <v>268</v>
      </c>
      <c r="E20" s="97">
        <v>432</v>
      </c>
      <c r="F20" s="33">
        <v>8</v>
      </c>
      <c r="G20" s="164">
        <v>12</v>
      </c>
      <c r="H20" s="136">
        <f t="shared" si="0"/>
        <v>1601</v>
      </c>
      <c r="I20" s="165">
        <f>H20/H34</f>
        <v>2.2851515108262801E-2</v>
      </c>
      <c r="M20" s="30"/>
    </row>
    <row r="21" spans="1:13" ht="20.100000000000001" customHeight="1" x14ac:dyDescent="0.25">
      <c r="A21" s="554" t="s">
        <v>39</v>
      </c>
      <c r="B21" s="32">
        <v>0</v>
      </c>
      <c r="C21" s="164">
        <v>1296</v>
      </c>
      <c r="D21" s="32">
        <v>0</v>
      </c>
      <c r="E21" s="97">
        <v>0</v>
      </c>
      <c r="F21" s="33">
        <v>0</v>
      </c>
      <c r="G21" s="164">
        <v>0</v>
      </c>
      <c r="H21" s="136">
        <f>SUM(B21:G21)</f>
        <v>1296</v>
      </c>
      <c r="I21" s="165">
        <f>H21/H34</f>
        <v>1.8498165884015358E-2</v>
      </c>
      <c r="M21" s="30"/>
    </row>
    <row r="22" spans="1:13" ht="20.100000000000001" customHeight="1" x14ac:dyDescent="0.25">
      <c r="A22" s="554" t="s">
        <v>42</v>
      </c>
      <c r="B22" s="32">
        <v>218</v>
      </c>
      <c r="C22" s="164">
        <v>217</v>
      </c>
      <c r="D22" s="32">
        <v>201</v>
      </c>
      <c r="E22" s="97">
        <v>158</v>
      </c>
      <c r="F22" s="33">
        <v>2</v>
      </c>
      <c r="G22" s="164">
        <v>0</v>
      </c>
      <c r="H22" s="136">
        <f t="shared" si="0"/>
        <v>796</v>
      </c>
      <c r="I22" s="165">
        <f>H22/H34</f>
        <v>1.1361527811478568E-2</v>
      </c>
      <c r="M22" s="30"/>
    </row>
    <row r="23" spans="1:13" ht="20.100000000000001" customHeight="1" x14ac:dyDescent="0.25">
      <c r="A23" s="554" t="s">
        <v>41</v>
      </c>
      <c r="B23" s="32">
        <v>138</v>
      </c>
      <c r="C23" s="164">
        <v>368</v>
      </c>
      <c r="D23" s="32">
        <v>79</v>
      </c>
      <c r="E23" s="97">
        <v>454</v>
      </c>
      <c r="F23" s="33">
        <v>0</v>
      </c>
      <c r="G23" s="164">
        <v>0</v>
      </c>
      <c r="H23" s="136">
        <f t="shared" si="0"/>
        <v>1039</v>
      </c>
      <c r="I23" s="165">
        <f>H23/H34</f>
        <v>1.4829933914731449E-2</v>
      </c>
      <c r="M23" s="30"/>
    </row>
    <row r="24" spans="1:13" ht="20.100000000000001" customHeight="1" x14ac:dyDescent="0.25">
      <c r="A24" s="554" t="s">
        <v>40</v>
      </c>
      <c r="B24" s="32">
        <v>412</v>
      </c>
      <c r="C24" s="164">
        <v>348</v>
      </c>
      <c r="D24" s="32">
        <v>114</v>
      </c>
      <c r="E24" s="97">
        <v>209</v>
      </c>
      <c r="F24" s="33">
        <v>0</v>
      </c>
      <c r="G24" s="164">
        <v>0</v>
      </c>
      <c r="H24" s="136">
        <f t="shared" si="0"/>
        <v>1083</v>
      </c>
      <c r="I24" s="165">
        <f>H24/H34</f>
        <v>1.5457958065114685E-2</v>
      </c>
      <c r="M24" s="30"/>
    </row>
    <row r="25" spans="1:13" ht="20.100000000000001" customHeight="1" x14ac:dyDescent="0.25">
      <c r="A25" s="554" t="s">
        <v>37</v>
      </c>
      <c r="B25" s="32">
        <v>75</v>
      </c>
      <c r="C25" s="164">
        <v>780</v>
      </c>
      <c r="D25" s="32">
        <v>48</v>
      </c>
      <c r="E25" s="97">
        <v>602</v>
      </c>
      <c r="F25" s="33">
        <v>0</v>
      </c>
      <c r="G25" s="164">
        <v>0</v>
      </c>
      <c r="H25" s="136">
        <f t="shared" si="0"/>
        <v>1505</v>
      </c>
      <c r="I25" s="165">
        <f>H25/H34</f>
        <v>2.1481280598335737E-2</v>
      </c>
      <c r="M25" s="30"/>
    </row>
    <row r="26" spans="1:13" ht="20.100000000000001" customHeight="1" x14ac:dyDescent="0.25">
      <c r="A26" s="554" t="s">
        <v>43</v>
      </c>
      <c r="B26" s="32">
        <v>195</v>
      </c>
      <c r="C26" s="164">
        <v>0</v>
      </c>
      <c r="D26" s="32">
        <v>147</v>
      </c>
      <c r="E26" s="97">
        <v>0</v>
      </c>
      <c r="F26" s="33">
        <v>17</v>
      </c>
      <c r="G26" s="164">
        <v>8</v>
      </c>
      <c r="H26" s="136">
        <f t="shared" si="0"/>
        <v>367</v>
      </c>
      <c r="I26" s="165">
        <f>H26/H34</f>
        <v>5.2382923452420037E-3</v>
      </c>
      <c r="M26" s="30"/>
    </row>
    <row r="27" spans="1:13" ht="20.100000000000001" customHeight="1" x14ac:dyDescent="0.25">
      <c r="A27" s="554" t="s">
        <v>111</v>
      </c>
      <c r="B27" s="32">
        <v>29</v>
      </c>
      <c r="C27" s="164">
        <v>19</v>
      </c>
      <c r="D27" s="32">
        <v>205</v>
      </c>
      <c r="E27" s="97">
        <v>0</v>
      </c>
      <c r="F27" s="33">
        <v>15</v>
      </c>
      <c r="G27" s="164">
        <v>7</v>
      </c>
      <c r="H27" s="136">
        <f t="shared" si="0"/>
        <v>275</v>
      </c>
      <c r="I27" s="165">
        <f>H27/H34</f>
        <v>3.9251509398952342E-3</v>
      </c>
      <c r="M27" s="30"/>
    </row>
    <row r="28" spans="1:13" ht="20.100000000000001" customHeight="1" x14ac:dyDescent="0.25">
      <c r="A28" s="554" t="s">
        <v>51</v>
      </c>
      <c r="B28" s="32">
        <v>92</v>
      </c>
      <c r="C28" s="164">
        <v>137</v>
      </c>
      <c r="D28" s="32">
        <v>41</v>
      </c>
      <c r="E28" s="97">
        <v>105</v>
      </c>
      <c r="F28" s="33">
        <v>0</v>
      </c>
      <c r="G28" s="164">
        <v>0</v>
      </c>
      <c r="H28" s="136">
        <f t="shared" si="0"/>
        <v>375</v>
      </c>
      <c r="I28" s="165">
        <f>H28/H34</f>
        <v>5.3524785544025923E-3</v>
      </c>
      <c r="M28" s="30"/>
    </row>
    <row r="29" spans="1:13" ht="20.100000000000001" customHeight="1" x14ac:dyDescent="0.25">
      <c r="A29" s="554" t="s">
        <v>50</v>
      </c>
      <c r="B29" s="32">
        <v>97</v>
      </c>
      <c r="C29" s="164">
        <v>70</v>
      </c>
      <c r="D29" s="32">
        <v>49</v>
      </c>
      <c r="E29" s="97">
        <v>24</v>
      </c>
      <c r="F29" s="33">
        <v>0</v>
      </c>
      <c r="G29" s="164">
        <v>0</v>
      </c>
      <c r="H29" s="136">
        <f t="shared" si="0"/>
        <v>240</v>
      </c>
      <c r="I29" s="165">
        <f>H29/H34</f>
        <v>3.4255862748176591E-3</v>
      </c>
      <c r="M29" s="30"/>
    </row>
    <row r="30" spans="1:13" ht="20.100000000000001" customHeight="1" x14ac:dyDescent="0.25">
      <c r="A30" s="554" t="s">
        <v>45</v>
      </c>
      <c r="B30" s="32">
        <v>79</v>
      </c>
      <c r="C30" s="164">
        <v>0</v>
      </c>
      <c r="D30" s="32">
        <v>112</v>
      </c>
      <c r="E30" s="97">
        <v>0</v>
      </c>
      <c r="F30" s="33">
        <v>11</v>
      </c>
      <c r="G30" s="164">
        <v>4</v>
      </c>
      <c r="H30" s="136">
        <f t="shared" si="0"/>
        <v>206</v>
      </c>
      <c r="I30" s="165">
        <f>H30/H34</f>
        <v>2.9402948858851573E-3</v>
      </c>
      <c r="M30" s="30"/>
    </row>
    <row r="31" spans="1:13" ht="20.100000000000001" customHeight="1" x14ac:dyDescent="0.25">
      <c r="A31" s="554" t="s">
        <v>173</v>
      </c>
      <c r="B31" s="32">
        <v>106</v>
      </c>
      <c r="C31" s="164">
        <v>0</v>
      </c>
      <c r="D31" s="32">
        <v>94</v>
      </c>
      <c r="E31" s="97">
        <v>0</v>
      </c>
      <c r="F31" s="33">
        <v>8</v>
      </c>
      <c r="G31" s="164">
        <v>3</v>
      </c>
      <c r="H31" s="136">
        <f t="shared" si="0"/>
        <v>211</v>
      </c>
      <c r="I31" s="165">
        <f>H31/H34</f>
        <v>3.011661266610525E-3</v>
      </c>
      <c r="M31" s="30"/>
    </row>
    <row r="32" spans="1:13" ht="20.100000000000001" customHeight="1" x14ac:dyDescent="0.25">
      <c r="A32" s="554" t="s">
        <v>546</v>
      </c>
      <c r="B32" s="32">
        <v>68</v>
      </c>
      <c r="C32" s="164">
        <v>73</v>
      </c>
      <c r="D32" s="32">
        <v>0</v>
      </c>
      <c r="E32" s="97">
        <v>0</v>
      </c>
      <c r="F32" s="33">
        <v>0</v>
      </c>
      <c r="G32" s="164">
        <v>0</v>
      </c>
      <c r="H32" s="136">
        <f t="shared" si="0"/>
        <v>141</v>
      </c>
      <c r="I32" s="165">
        <f>H32/H34</f>
        <v>2.0125319364553747E-3</v>
      </c>
      <c r="M32" s="30"/>
    </row>
    <row r="33" spans="1:13" ht="20.100000000000001" customHeight="1" thickBot="1" x14ac:dyDescent="0.3">
      <c r="A33" s="555" t="s">
        <v>395</v>
      </c>
      <c r="B33" s="103">
        <v>11</v>
      </c>
      <c r="C33" s="166">
        <v>0</v>
      </c>
      <c r="D33" s="32">
        <v>0</v>
      </c>
      <c r="E33" s="97">
        <v>0</v>
      </c>
      <c r="F33" s="33">
        <v>0</v>
      </c>
      <c r="G33" s="164">
        <v>0</v>
      </c>
      <c r="H33" s="142">
        <f t="shared" si="0"/>
        <v>11</v>
      </c>
      <c r="I33" s="167">
        <f>H33/H34</f>
        <v>1.5700603759580937E-4</v>
      </c>
      <c r="M33" s="30"/>
    </row>
    <row r="34" spans="1:13" ht="20.100000000000001" customHeight="1" thickBot="1" x14ac:dyDescent="0.3">
      <c r="A34" s="168" t="s">
        <v>6</v>
      </c>
      <c r="B34" s="169">
        <f t="shared" ref="B34:G34" si="1">SUM(B4:B33)</f>
        <v>22269</v>
      </c>
      <c r="C34" s="170">
        <f t="shared" si="1"/>
        <v>13934</v>
      </c>
      <c r="D34" s="169">
        <f t="shared" si="1"/>
        <v>20600</v>
      </c>
      <c r="E34" s="170">
        <f t="shared" si="1"/>
        <v>11616</v>
      </c>
      <c r="F34" s="171">
        <f t="shared" si="1"/>
        <v>949</v>
      </c>
      <c r="G34" s="172">
        <f t="shared" si="1"/>
        <v>693</v>
      </c>
      <c r="H34" s="173">
        <f t="shared" si="0"/>
        <v>70061</v>
      </c>
      <c r="I34" s="174">
        <f>SUM(I4:I33)</f>
        <v>1</v>
      </c>
      <c r="M34" s="30"/>
    </row>
    <row r="35" spans="1:13" ht="20.100000000000001" customHeight="1" thickBot="1" x14ac:dyDescent="0.3">
      <c r="A35" s="83"/>
      <c r="B35" s="307">
        <f>B34/H34</f>
        <v>0.31785158647464351</v>
      </c>
      <c r="C35" s="308">
        <f>C34/H34</f>
        <v>0.19888382980545524</v>
      </c>
      <c r="D35" s="307">
        <f>D34/H34</f>
        <v>0.29402948858851574</v>
      </c>
      <c r="E35" s="309">
        <f>E34/H34</f>
        <v>0.1657983757011747</v>
      </c>
      <c r="F35" s="310">
        <f>F34/H34</f>
        <v>1.3545339061674827E-2</v>
      </c>
      <c r="G35" s="308">
        <f>G34/H34</f>
        <v>9.8913803685359899E-3</v>
      </c>
      <c r="H35" s="311">
        <f>SUM(B35:G35)</f>
        <v>1.0000000000000002</v>
      </c>
      <c r="I35" s="175"/>
    </row>
    <row r="36" spans="1:13" x14ac:dyDescent="0.25">
      <c r="I36" s="18" t="s">
        <v>24</v>
      </c>
      <c r="M36" s="30"/>
    </row>
    <row r="41" spans="1:13" x14ac:dyDescent="0.25">
      <c r="B41" s="30"/>
      <c r="C41" s="30"/>
      <c r="D41" s="30"/>
      <c r="E41" s="30"/>
      <c r="F41" s="30"/>
      <c r="G41" s="30"/>
      <c r="H41" s="30"/>
    </row>
  </sheetData>
  <mergeCells count="6">
    <mergeCell ref="B2:C2"/>
    <mergeCell ref="D2:E2"/>
    <mergeCell ref="F2:G2"/>
    <mergeCell ref="A1:I1"/>
    <mergeCell ref="H2:H3"/>
    <mergeCell ref="I2:I3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N12"/>
  <sheetViews>
    <sheetView zoomScaleNormal="100" workbookViewId="0">
      <selection sqref="A1:K1"/>
    </sheetView>
  </sheetViews>
  <sheetFormatPr defaultRowHeight="15" x14ac:dyDescent="0.25"/>
  <cols>
    <col min="1" max="1" width="44.5703125" style="9" bestFit="1" customWidth="1"/>
    <col min="2" max="2" width="9.140625" style="9" customWidth="1"/>
    <col min="3" max="11" width="8.28515625" style="9" customWidth="1"/>
    <col min="12" max="16384" width="9.140625" style="9"/>
  </cols>
  <sheetData>
    <row r="1" spans="1:14" ht="64.5" customHeight="1" thickBot="1" x14ac:dyDescent="0.3">
      <c r="A1" s="982" t="s">
        <v>399</v>
      </c>
      <c r="B1" s="982"/>
      <c r="C1" s="982"/>
      <c r="D1" s="982"/>
      <c r="E1" s="982"/>
      <c r="F1" s="982"/>
      <c r="G1" s="982"/>
      <c r="H1" s="982"/>
      <c r="I1" s="982"/>
      <c r="J1" s="982"/>
      <c r="K1" s="982"/>
    </row>
    <row r="2" spans="1:14" ht="105" thickBot="1" x14ac:dyDescent="0.3">
      <c r="A2" s="859"/>
      <c r="B2" s="24" t="s">
        <v>52</v>
      </c>
      <c r="C2" s="21" t="s">
        <v>86</v>
      </c>
      <c r="D2" s="25" t="s">
        <v>54</v>
      </c>
      <c r="E2" s="24" t="s">
        <v>55</v>
      </c>
      <c r="F2" s="21" t="s">
        <v>87</v>
      </c>
      <c r="G2" s="25" t="s">
        <v>400</v>
      </c>
      <c r="H2" s="23" t="s">
        <v>401</v>
      </c>
      <c r="I2" s="21" t="s">
        <v>88</v>
      </c>
      <c r="J2" s="21" t="s">
        <v>402</v>
      </c>
      <c r="K2" s="22" t="s">
        <v>403</v>
      </c>
      <c r="L2" s="10"/>
      <c r="M2" s="10"/>
      <c r="N2" s="11"/>
    </row>
    <row r="3" spans="1:14" x14ac:dyDescent="0.25">
      <c r="A3" s="861" t="s">
        <v>58</v>
      </c>
      <c r="B3" s="862">
        <v>3416</v>
      </c>
      <c r="C3" s="863">
        <v>3059</v>
      </c>
      <c r="D3" s="864">
        <v>1.1167048054919908</v>
      </c>
      <c r="E3" s="862">
        <v>2616</v>
      </c>
      <c r="F3" s="863">
        <v>2426</v>
      </c>
      <c r="G3" s="864">
        <v>0.79306963059823476</v>
      </c>
      <c r="H3" s="865">
        <v>1863</v>
      </c>
      <c r="I3" s="863">
        <v>1863</v>
      </c>
      <c r="J3" s="866">
        <v>0.76793075020610058</v>
      </c>
      <c r="K3" s="864">
        <v>0.60902255639097747</v>
      </c>
      <c r="L3" s="12"/>
      <c r="M3" s="13"/>
    </row>
    <row r="4" spans="1:14" x14ac:dyDescent="0.25">
      <c r="A4" s="559" t="s">
        <v>85</v>
      </c>
      <c r="B4" s="34">
        <v>8242</v>
      </c>
      <c r="C4" s="176">
        <v>5774</v>
      </c>
      <c r="D4" s="35">
        <v>1.4274333217873225</v>
      </c>
      <c r="E4" s="34">
        <v>5260</v>
      </c>
      <c r="F4" s="176">
        <v>4560</v>
      </c>
      <c r="G4" s="35">
        <v>0.7897471423623138</v>
      </c>
      <c r="H4" s="36">
        <v>2636</v>
      </c>
      <c r="I4" s="176">
        <v>2632</v>
      </c>
      <c r="J4" s="37">
        <v>0.57719298245614037</v>
      </c>
      <c r="K4" s="35">
        <v>0.45583650848631796</v>
      </c>
      <c r="L4" s="12"/>
      <c r="M4" s="13"/>
    </row>
    <row r="5" spans="1:14" x14ac:dyDescent="0.25">
      <c r="A5" s="559" t="s">
        <v>598</v>
      </c>
      <c r="B5" s="34">
        <v>79980</v>
      </c>
      <c r="C5" s="176">
        <v>43811</v>
      </c>
      <c r="D5" s="35">
        <v>1.8255689210472257</v>
      </c>
      <c r="E5" s="34">
        <v>41519</v>
      </c>
      <c r="F5" s="176">
        <v>32584</v>
      </c>
      <c r="G5" s="35">
        <v>0.74374015658168036</v>
      </c>
      <c r="H5" s="36">
        <v>27995</v>
      </c>
      <c r="I5" s="176">
        <v>27753</v>
      </c>
      <c r="J5" s="37">
        <v>0.85173704885833534</v>
      </c>
      <c r="K5" s="35">
        <v>0.6334710460843167</v>
      </c>
      <c r="M5" s="14"/>
    </row>
    <row r="6" spans="1:14" x14ac:dyDescent="0.25">
      <c r="A6" s="559" t="s">
        <v>599</v>
      </c>
      <c r="B6" s="34">
        <v>23374</v>
      </c>
      <c r="C6" s="176">
        <v>17124</v>
      </c>
      <c r="D6" s="35">
        <v>1.3649848166316281</v>
      </c>
      <c r="E6" s="34">
        <v>17777</v>
      </c>
      <c r="F6" s="176">
        <v>14423</v>
      </c>
      <c r="G6" s="35">
        <v>0.8422681616444756</v>
      </c>
      <c r="H6" s="36">
        <v>11497</v>
      </c>
      <c r="I6" s="176">
        <v>11459</v>
      </c>
      <c r="J6" s="37">
        <v>0.79449490397282119</v>
      </c>
      <c r="K6" s="35">
        <v>0.66917776220509229</v>
      </c>
      <c r="M6" s="14"/>
    </row>
    <row r="7" spans="1:14" x14ac:dyDescent="0.25">
      <c r="A7" s="559" t="s">
        <v>59</v>
      </c>
      <c r="B7" s="34">
        <v>3853</v>
      </c>
      <c r="C7" s="176">
        <v>3051</v>
      </c>
      <c r="D7" s="35">
        <v>1.2628646345460506</v>
      </c>
      <c r="E7" s="34">
        <v>1149</v>
      </c>
      <c r="F7" s="176">
        <v>1086</v>
      </c>
      <c r="G7" s="35">
        <v>0.35594886922320551</v>
      </c>
      <c r="H7" s="36">
        <v>918</v>
      </c>
      <c r="I7" s="176">
        <v>917</v>
      </c>
      <c r="J7" s="37">
        <v>0.84438305709023942</v>
      </c>
      <c r="K7" s="35">
        <v>0.30055719436250411</v>
      </c>
      <c r="M7" s="14"/>
    </row>
    <row r="8" spans="1:14" x14ac:dyDescent="0.25">
      <c r="A8" s="559" t="s">
        <v>600</v>
      </c>
      <c r="B8" s="34">
        <v>5175</v>
      </c>
      <c r="C8" s="176">
        <v>4811</v>
      </c>
      <c r="D8" s="35">
        <v>1.0756599459571814</v>
      </c>
      <c r="E8" s="34">
        <v>1316</v>
      </c>
      <c r="F8" s="176">
        <v>1287</v>
      </c>
      <c r="G8" s="35">
        <v>0.26751195177717729</v>
      </c>
      <c r="H8" s="36">
        <v>1063</v>
      </c>
      <c r="I8" s="176">
        <v>1061</v>
      </c>
      <c r="J8" s="37">
        <v>0.82439782439782439</v>
      </c>
      <c r="K8" s="35">
        <v>0.22053627104552068</v>
      </c>
      <c r="M8" s="14"/>
    </row>
    <row r="9" spans="1:14" ht="15.75" thickBot="1" x14ac:dyDescent="0.3">
      <c r="A9" s="860" t="s">
        <v>601</v>
      </c>
      <c r="B9" s="38">
        <v>11699</v>
      </c>
      <c r="C9" s="177">
        <v>6865</v>
      </c>
      <c r="D9" s="39">
        <v>1.7041514930808448</v>
      </c>
      <c r="E9" s="38">
        <v>4474</v>
      </c>
      <c r="F9" s="177">
        <v>3563</v>
      </c>
      <c r="G9" s="39">
        <v>0.51900946831755279</v>
      </c>
      <c r="H9" s="40">
        <v>3102</v>
      </c>
      <c r="I9" s="177">
        <v>3092</v>
      </c>
      <c r="J9" s="41">
        <v>0.86780802694358683</v>
      </c>
      <c r="K9" s="39">
        <v>0.45040058266569555</v>
      </c>
      <c r="L9" s="12"/>
      <c r="M9" s="13"/>
    </row>
    <row r="10" spans="1:14" ht="15.75" thickBot="1" x14ac:dyDescent="0.3">
      <c r="A10" s="312" t="s">
        <v>89</v>
      </c>
      <c r="B10" s="178">
        <v>135739</v>
      </c>
      <c r="C10" s="179">
        <v>67255</v>
      </c>
      <c r="D10" s="180">
        <v>2.0182737342948478</v>
      </c>
      <c r="E10" s="178">
        <v>74111</v>
      </c>
      <c r="F10" s="179">
        <v>54414</v>
      </c>
      <c r="G10" s="180">
        <v>0.80906995762396849</v>
      </c>
      <c r="H10" s="181">
        <v>49074</v>
      </c>
      <c r="I10" s="179">
        <v>48533</v>
      </c>
      <c r="J10" s="182">
        <v>0.89192119675083614</v>
      </c>
      <c r="K10" s="180">
        <v>0.72162664485911832</v>
      </c>
      <c r="L10" s="12"/>
      <c r="M10" s="13"/>
    </row>
    <row r="11" spans="1:14" x14ac:dyDescent="0.25">
      <c r="K11" s="26" t="s">
        <v>404</v>
      </c>
    </row>
    <row r="12" spans="1:14" x14ac:dyDescent="0.25">
      <c r="B12" s="313"/>
      <c r="C12" s="313"/>
      <c r="D12" s="313"/>
      <c r="E12" s="313"/>
      <c r="F12" s="313"/>
      <c r="G12" s="313"/>
      <c r="H12" s="313"/>
      <c r="I12" s="313"/>
    </row>
  </sheetData>
  <mergeCells count="1">
    <mergeCell ref="A1:K1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E4474CBD1A3D47B7BA91EC48B3310F" ma:contentTypeVersion="0" ma:contentTypeDescription="Umožňuje vytvoriť nový dokument." ma:contentTypeScope="" ma:versionID="de3093507076463e0b0e18bbc8a5e5e9">
  <xsd:schema xmlns:xsd="http://www.w3.org/2001/XMLSchema" xmlns:p="http://schemas.microsoft.com/office/2006/metadata/properties" targetNamespace="http://schemas.microsoft.com/office/2006/metadata/properties" ma:root="true" ma:fieldsID="11b4a447ac6355810685471cdfce56e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áz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45AD4A-0BF3-4500-87B0-8A236A0D95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0B67A60-9E18-4392-81ED-1CE598C71B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8535EE-868C-4720-B4A5-1FC24D7B2522}">
  <ds:schemaRefs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32</vt:i4>
      </vt:variant>
      <vt:variant>
        <vt:lpstr>Pomenované rozsahy</vt:lpstr>
      </vt:variant>
      <vt:variant>
        <vt:i4>1</vt:i4>
      </vt:variant>
    </vt:vector>
  </HeadingPairs>
  <TitlesOfParts>
    <vt:vector size="33" baseType="lpstr">
      <vt:lpstr>obal</vt:lpstr>
      <vt:lpstr>zoznam tabuliek</vt:lpstr>
      <vt:lpstr>skratky VŠ</vt:lpstr>
      <vt:lpstr>T1-počet študentov</vt:lpstr>
      <vt:lpstr>T2-študenti podľa odborov</vt:lpstr>
      <vt:lpstr>T3-podiel škol</vt:lpstr>
      <vt:lpstr>T4-abs podľa odborov</vt:lpstr>
      <vt:lpstr>T5-abs podiel skol</vt:lpstr>
      <vt:lpstr>T6-PKIpo odboroch</vt:lpstr>
      <vt:lpstr>T7-PKIvek</vt:lpstr>
      <vt:lpstr>T8-PK maturanti</vt:lpstr>
      <vt:lpstr>T9-PK II. stupen</vt:lpstr>
      <vt:lpstr>T10-Platy</vt:lpstr>
      <vt:lpstr>T11-profesori</vt:lpstr>
      <vt:lpstr>T12a-VVŠ VEGA</vt:lpstr>
      <vt:lpstr>T12b-komisie VEGA</vt:lpstr>
      <vt:lpstr>T13-VVŠ KEGA</vt:lpstr>
      <vt:lpstr>T14a-VVŠ APVV</vt:lpstr>
      <vt:lpstr>T14b-SVV APVV</vt:lpstr>
      <vt:lpstr>T15-soc.štip</vt:lpstr>
      <vt:lpstr>T16-Ubytovanie</vt:lpstr>
      <vt:lpstr>T17a-Súvaha A 2011</vt:lpstr>
      <vt:lpstr>T 17b-Súvaha P 2011</vt:lpstr>
      <vt:lpstr>T18-Výnosy 2011</vt:lpstr>
      <vt:lpstr>T19-Výnosy porovnanie</vt:lpstr>
      <vt:lpstr>T20-Náklady 2011</vt:lpstr>
      <vt:lpstr>T21-Náklady porovnanie</vt:lpstr>
      <vt:lpstr>T22-VH 2011</vt:lpstr>
      <vt:lpstr>T23-náklady soc.star. 2011</vt:lpstr>
      <vt:lpstr>T24-výnosy soc.star. 2011</vt:lpstr>
      <vt:lpstr>T25-VH soc.star. 2011</vt:lpstr>
      <vt:lpstr>T26-384 rok 2011</vt:lpstr>
      <vt:lpstr>'T9-PK II. stupen'!Názvy_tlače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Jozef Jurkovič</cp:lastModifiedBy>
  <cp:lastPrinted>2012-09-17T11:52:06Z</cp:lastPrinted>
  <dcterms:created xsi:type="dcterms:W3CDTF">2010-06-10T18:29:15Z</dcterms:created>
  <dcterms:modified xsi:type="dcterms:W3CDTF">2012-09-25T05:50:16Z</dcterms:modified>
</cp:coreProperties>
</file>