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200" yWindow="60" windowWidth="15600" windowHeight="11760"/>
  </bookViews>
  <sheets>
    <sheet name="hodnotenie_SOS" sheetId="2" r:id="rId1"/>
    <sheet name="kriteria_SOS" sheetId="6" state="hidden" r:id="rId2"/>
  </sheets>
  <definedNames>
    <definedName name="_xlnm.Print_Area" localSheetId="0">hodnotenie_SOS!$A$1:$F$99</definedName>
    <definedName name="_xlnm.Print_Area" localSheetId="1">kriteria_SOS!$A$1:$M$31</definedName>
    <definedName name="výber" localSheetId="0">hodnotenie_SOS!#REF!</definedName>
  </definedNames>
  <calcPr calcId="125725"/>
</workbook>
</file>

<file path=xl/calcChain.xml><?xml version="1.0" encoding="utf-8"?>
<calcChain xmlns="http://schemas.openxmlformats.org/spreadsheetml/2006/main">
  <c r="D81" i="2"/>
  <c r="E18" l="1"/>
  <c r="E16"/>
  <c r="D16"/>
  <c r="E88"/>
  <c r="D62" l="1"/>
  <c r="D63" s="1"/>
  <c r="D52"/>
  <c r="K8" i="6" l="1"/>
  <c r="K6"/>
  <c r="K4"/>
  <c r="K7"/>
  <c r="K3"/>
  <c r="K9"/>
  <c r="K5"/>
  <c r="D53" i="2"/>
  <c r="F19" i="6" l="1"/>
  <c r="F17"/>
  <c r="F15"/>
  <c r="F13"/>
  <c r="F18"/>
  <c r="F16"/>
  <c r="F14"/>
  <c r="G91" i="2"/>
  <c r="E80"/>
  <c r="F80" s="1"/>
  <c r="E96"/>
  <c r="D22"/>
  <c r="A7" i="6" s="1"/>
  <c r="E43" i="2"/>
  <c r="E42"/>
  <c r="E37"/>
  <c r="E40"/>
  <c r="E36"/>
  <c r="D29"/>
  <c r="D26"/>
  <c r="E34"/>
  <c r="E15"/>
  <c r="D13" s="1"/>
  <c r="E89"/>
  <c r="F87"/>
  <c r="A37" i="6" s="1"/>
  <c r="F81" i="2"/>
  <c r="K12" i="6"/>
  <c r="K19" s="1"/>
  <c r="D46" i="2"/>
  <c r="D73"/>
  <c r="F26" i="6" s="1"/>
  <c r="D97" i="2"/>
  <c r="E92"/>
  <c r="E85"/>
  <c r="E93"/>
  <c r="E94"/>
  <c r="E83"/>
  <c r="E84"/>
  <c r="E82"/>
  <c r="F18"/>
  <c r="D77"/>
  <c r="E77" s="1"/>
  <c r="C80"/>
  <c r="C79"/>
  <c r="C78"/>
  <c r="C76"/>
  <c r="C75"/>
  <c r="C74"/>
  <c r="C51"/>
  <c r="C48"/>
  <c r="E8"/>
  <c r="E4"/>
  <c r="E3"/>
  <c r="F8" i="6" l="1"/>
  <c r="F6"/>
  <c r="F4"/>
  <c r="F9"/>
  <c r="F7"/>
  <c r="F5"/>
  <c r="F3"/>
  <c r="F25"/>
  <c r="F28"/>
  <c r="F24"/>
  <c r="F23"/>
  <c r="F27"/>
  <c r="A26"/>
  <c r="A25"/>
  <c r="A21"/>
  <c r="A23"/>
  <c r="A4"/>
  <c r="A6"/>
  <c r="A8"/>
  <c r="A3"/>
  <c r="A5"/>
  <c r="E35" i="2"/>
  <c r="D35" s="1"/>
  <c r="E33" s="1"/>
  <c r="E32" s="1"/>
  <c r="D32" s="1"/>
  <c r="D25"/>
  <c r="A16" i="6" s="1"/>
  <c r="A22"/>
  <c r="A24"/>
  <c r="K15"/>
  <c r="A32"/>
  <c r="A34"/>
  <c r="A36"/>
  <c r="A33"/>
  <c r="A35"/>
  <c r="E91" i="2"/>
  <c r="E90" s="1"/>
  <c r="D90" s="1"/>
  <c r="E7"/>
  <c r="E41"/>
  <c r="D41" s="1"/>
  <c r="D38" s="1"/>
  <c r="E38" s="1"/>
  <c r="K10" i="6"/>
  <c r="F20"/>
  <c r="E53" i="2" s="1"/>
  <c r="K18" i="6"/>
  <c r="K16"/>
  <c r="K17"/>
  <c r="K22" l="1"/>
  <c r="E63" i="2" s="1"/>
  <c r="F29" i="6"/>
  <c r="E73" i="2" s="1"/>
  <c r="A27" i="6"/>
  <c r="D20" i="2"/>
  <c r="D33"/>
  <c r="A15" i="6"/>
  <c r="A14"/>
  <c r="A13"/>
  <c r="A17"/>
  <c r="A12"/>
  <c r="A38"/>
  <c r="E87" i="2" s="1"/>
  <c r="E86" s="1"/>
  <c r="D86" s="1"/>
  <c r="F10" i="6"/>
  <c r="E13" i="2" l="1"/>
  <c r="E12" s="1"/>
  <c r="D12" s="1"/>
  <c r="E72"/>
  <c r="D72" s="1"/>
  <c r="A18" i="6"/>
  <c r="E29" i="2" s="1"/>
  <c r="E46"/>
  <c r="E45" s="1"/>
  <c r="E44" s="1"/>
  <c r="D44" s="1"/>
  <c r="A9" i="6"/>
  <c r="E22" i="2" s="1"/>
  <c r="E25" l="1"/>
  <c r="E20" s="1"/>
  <c r="E19" s="1"/>
  <c r="D19" s="1"/>
  <c r="E26"/>
  <c r="D9" l="1"/>
</calcChain>
</file>

<file path=xl/comments1.xml><?xml version="1.0" encoding="utf-8"?>
<comments xmlns="http://schemas.openxmlformats.org/spreadsheetml/2006/main">
  <authors>
    <author>kozakova</author>
  </authors>
  <commentList>
    <comment ref="E91" authorId="0">
      <text>
        <r>
          <rPr>
            <b/>
            <sz val="9"/>
            <color indexed="81"/>
            <rFont val="Tahoma"/>
            <family val="2"/>
            <charset val="238"/>
          </rPr>
          <t>kozakova:</t>
        </r>
        <r>
          <rPr>
            <sz val="9"/>
            <color indexed="81"/>
            <rFont val="Tahoma"/>
            <family val="2"/>
            <charset val="238"/>
          </rPr>
          <t xml:space="preserve">
priemer z KI bodové hodnotenie identické z TI</t>
        </r>
      </text>
    </comment>
  </commentList>
</comments>
</file>

<file path=xl/sharedStrings.xml><?xml version="1.0" encoding="utf-8"?>
<sst xmlns="http://schemas.openxmlformats.org/spreadsheetml/2006/main" count="377" uniqueCount="255">
  <si>
    <t>Škola</t>
  </si>
  <si>
    <t>I.</t>
  </si>
  <si>
    <t>1.</t>
  </si>
  <si>
    <t>3.</t>
  </si>
  <si>
    <t>4.</t>
  </si>
  <si>
    <t>pod 70%</t>
  </si>
  <si>
    <t>II.</t>
  </si>
  <si>
    <t>5.</t>
  </si>
  <si>
    <t>6.</t>
  </si>
  <si>
    <t>7.</t>
  </si>
  <si>
    <t>III.</t>
  </si>
  <si>
    <t>8.</t>
  </si>
  <si>
    <t>9.</t>
  </si>
  <si>
    <t>10.</t>
  </si>
  <si>
    <t>11.</t>
  </si>
  <si>
    <t>IV.</t>
  </si>
  <si>
    <t>12.</t>
  </si>
  <si>
    <t>13.</t>
  </si>
  <si>
    <t>14.</t>
  </si>
  <si>
    <t>V.</t>
  </si>
  <si>
    <t>16.</t>
  </si>
  <si>
    <t>áno</t>
  </si>
  <si>
    <t>nie</t>
  </si>
  <si>
    <t>percentuálna úspešnosť PFIČ v SJSL</t>
  </si>
  <si>
    <t>percentuálna úspešnosť PFIČ v CUJ</t>
  </si>
  <si>
    <t>priemer známok z TČOZ MS</t>
  </si>
  <si>
    <t>priemer známok z PČOZ MS</t>
  </si>
  <si>
    <t>študijný odbor</t>
  </si>
  <si>
    <t>učebný odbor</t>
  </si>
  <si>
    <t>2.</t>
  </si>
  <si>
    <t>II. a</t>
  </si>
  <si>
    <t>II. b</t>
  </si>
  <si>
    <t xml:space="preserve">VI. </t>
  </si>
  <si>
    <t>dosiahnutá úroveň oblasti riadenia</t>
  </si>
  <si>
    <t>dosiahnutá úroveň oblasti podmienok výchovy a vzdelávania</t>
  </si>
  <si>
    <t>dosiahnutá úroveň výchovno-vzdelávacieho procesu</t>
  </si>
  <si>
    <t>veľmi dobrá</t>
  </si>
  <si>
    <t>dobrá</t>
  </si>
  <si>
    <t>priemerná</t>
  </si>
  <si>
    <t>málo vyhovujúca</t>
  </si>
  <si>
    <t>nevyhovujúca</t>
  </si>
  <si>
    <t>ÚPSVaR</t>
  </si>
  <si>
    <t>škola</t>
  </si>
  <si>
    <t>NÚCEM</t>
  </si>
  <si>
    <t xml:space="preserve">škola </t>
  </si>
  <si>
    <t xml:space="preserve">Výsledky z celoslovenských kôl súťaží alebo predmetových olympiád a výsledkov medzinárodných kôl súťaží alebo predmetových olympiád </t>
  </si>
  <si>
    <t>Výsledky monitorovania a hodnotenia kvality výchovy a vzdelávania vykonaných ŠŠI</t>
  </si>
  <si>
    <t xml:space="preserve">Počet skupín odborov vzdelávania v škole </t>
  </si>
  <si>
    <t>Počet žiakov dennej formy štúdia</t>
  </si>
  <si>
    <t xml:space="preserve">Kvantitatívne kritériá </t>
  </si>
  <si>
    <t>z nich evidovaní uchádzači o zamestnanie - absolventi školy na ÚPSVaR</t>
  </si>
  <si>
    <t xml:space="preserve">Uplatniteľnosť absolventov </t>
  </si>
  <si>
    <t>Zabezpečenie výchovy a vzdelávania</t>
  </si>
  <si>
    <t>Personálne zabezpečenie</t>
  </si>
  <si>
    <t>Materiálno-technické zabezpečenie</t>
  </si>
  <si>
    <t>Priestorové zabezpečenie</t>
  </si>
  <si>
    <t>Výsledky internej časti maturitnej skúšky</t>
  </si>
  <si>
    <t xml:space="preserve">Výsledky záverečnej/absolventskej skúšky žiakov </t>
  </si>
  <si>
    <t>Kritériá hodnotenia SOŠ</t>
  </si>
  <si>
    <t>Vybavenie učebnými pomôckami, didaktickou technikou, prostriedkami IKT, nástrojmi a prístrojmi v súlade s požiadavkami povinného materiálno-technického zabezpečenia podľa ŠVP</t>
  </si>
  <si>
    <t>počet žiakov, ktorí neprospeli na záverečnej/absolventskej skúške</t>
  </si>
  <si>
    <t>Vyučovanie predmetov v súlade s požiadavkami povinného priestorového zabezpečenia</t>
  </si>
  <si>
    <t>Posudzovaný odbor vzdelávania (názov; kód):</t>
  </si>
  <si>
    <t>&lt;95%;100%&gt;</t>
  </si>
  <si>
    <t>&lt;90%;95%)</t>
  </si>
  <si>
    <t>&lt;85%;90%)</t>
  </si>
  <si>
    <t>&lt;77,5%;85%)</t>
  </si>
  <si>
    <t>&lt;70%;77,5%)</t>
  </si>
  <si>
    <t>&lt;90%;100%&gt;</t>
  </si>
  <si>
    <t>&lt;80%;90%)</t>
  </si>
  <si>
    <t>&lt;70%;80%)</t>
  </si>
  <si>
    <t>&lt;60%;70%)</t>
  </si>
  <si>
    <t>&lt;50%;60%)</t>
  </si>
  <si>
    <t>pod 50%</t>
  </si>
  <si>
    <t>&lt;40%;60%)</t>
  </si>
  <si>
    <t>&lt;60%;80%)</t>
  </si>
  <si>
    <t>Externá časť MS (percentil)</t>
  </si>
  <si>
    <t>Písomná forma IČ MS (úspešnosť v %)</t>
  </si>
  <si>
    <t>&lt;25%;40%)</t>
  </si>
  <si>
    <t>25% a menej</t>
  </si>
  <si>
    <t>Naplnenosť tried (D13)</t>
  </si>
  <si>
    <t>Odbornosť odborných predmetov (D20)</t>
  </si>
  <si>
    <t>Odbornosť všeobecno-vzdelávacích predmetov (D19)</t>
  </si>
  <si>
    <t>Vzdelávacia kapacita školy v posudzovanom odbore</t>
  </si>
  <si>
    <t>písomná forma</t>
  </si>
  <si>
    <t>ústna forma</t>
  </si>
  <si>
    <t>Výsledky  externej časti maturitnej skúšky</t>
  </si>
  <si>
    <t>vyplniť</t>
  </si>
  <si>
    <t>ÚIPŠ - zber k 15.9.</t>
  </si>
  <si>
    <t xml:space="preserve">ÚIPŠ - zber k 15.9. </t>
  </si>
  <si>
    <t>ÚIPŠ - zber k 15.9. - len vyučované odbory</t>
  </si>
  <si>
    <t>ÚIPŠ - zber k 15. 9. - absolventi za minulý školský rok</t>
  </si>
  <si>
    <t>(1 údaj)</t>
  </si>
  <si>
    <t>(výber z 3 možností - áno; čiastočne áno; nie)</t>
  </si>
  <si>
    <t>percentil  školy v CUJ na úrovni B2</t>
  </si>
  <si>
    <t>počet žiakov, ktorí vykonali EČMS z CUJ na úrovni B2</t>
  </si>
  <si>
    <t>číselná hodnota</t>
  </si>
  <si>
    <t>číslená hodnota</t>
  </si>
  <si>
    <t>(výber z 5 možností - veľmi dobrá; dobrá; priemerná; málo vyhovujúca; nevyhovujúca)</t>
  </si>
  <si>
    <t>zdroj ŠŠI</t>
  </si>
  <si>
    <t>pomer plánu výkonov (ŠVS) a reálneho počtu novoprijatých žiakov 1. ročníka (zahajovací výkaz k 15. 9.)</t>
  </si>
  <si>
    <t>Externá časť MS (percentil) - úroveň B1</t>
  </si>
  <si>
    <t>Externá časť MS (percentil) - úroveň B2</t>
  </si>
  <si>
    <t>percentil školy z vyučovacích jazykov a SJSL</t>
  </si>
  <si>
    <t>&lt;75%;100%&gt;</t>
  </si>
  <si>
    <t>&lt;50%;75%)</t>
  </si>
  <si>
    <t>&lt;25%;50%)</t>
  </si>
  <si>
    <t>&lt;10%;25%)</t>
  </si>
  <si>
    <t>pod 10%</t>
  </si>
  <si>
    <t>zvýhodnenie B2</t>
  </si>
  <si>
    <t>Výsledné hodnotenie EČMS B2</t>
  </si>
  <si>
    <t>podiel počtu žiakov maturujúcich na úrovni B1 a B2</t>
  </si>
  <si>
    <t xml:space="preserve">percentil  školy vo vyučovacom jazyku 2 </t>
  </si>
  <si>
    <t>biling. zahrnúť do CUJ B2</t>
  </si>
  <si>
    <t>15.</t>
  </si>
  <si>
    <t>hodnotenie úrovne ako pri KI</t>
  </si>
  <si>
    <t xml:space="preserve">zmena váhy a skrátenie sledovaného obdobia </t>
  </si>
  <si>
    <t>nebudú znevýhodnené tie školy, kde boli vykonané 2 inšpekcie</t>
  </si>
  <si>
    <t>započíta sa výsledok len jednej inšpekcie (buď TI, alebo KI)</t>
  </si>
  <si>
    <t>celkový počet bodov  vychádza  1*d70+0,5*d71</t>
  </si>
  <si>
    <t xml:space="preserve">výsledkov z celoslovenských kôl súťaží alebo predmetových olympiád a výsledkov medzinárodných kôl súťaží alebo predmetových olympiád, </t>
  </si>
  <si>
    <t>zákon</t>
  </si>
  <si>
    <t>&lt;55%;75%)</t>
  </si>
  <si>
    <t>&lt;45%;55%)</t>
  </si>
  <si>
    <t>&lt;35%;45%)</t>
  </si>
  <si>
    <t>&lt;25%;35%)</t>
  </si>
  <si>
    <t>&lt;15%;25%)</t>
  </si>
  <si>
    <t>pod 15%</t>
  </si>
  <si>
    <t xml:space="preserve"> </t>
  </si>
  <si>
    <r>
      <t xml:space="preserve">Výsledky </t>
    </r>
    <r>
      <rPr>
        <b/>
        <i/>
        <sz val="12"/>
        <color indexed="8"/>
        <rFont val="Times New Roman"/>
        <family val="1"/>
        <charset val="238"/>
      </rPr>
      <t xml:space="preserve">tematickej inšpekcie </t>
    </r>
    <r>
      <rPr>
        <sz val="12"/>
        <color indexed="8"/>
        <rFont val="Times New Roman"/>
        <family val="1"/>
        <charset val="238"/>
      </rPr>
      <t xml:space="preserve">orientovanej na súlad ŠkVP so ŠVP v príslušnej skupine odborov (preniesť úroveň) - </t>
    </r>
    <r>
      <rPr>
        <b/>
        <sz val="12"/>
        <color indexed="8"/>
        <rFont val="Times New Roman"/>
        <family val="1"/>
        <charset val="238"/>
      </rPr>
      <t>uviesť rok výkonu</t>
    </r>
  </si>
  <si>
    <t>pod 0,5%</t>
  </si>
  <si>
    <t>&lt;0,5%;1,5%)</t>
  </si>
  <si>
    <t>&lt;1,5%;2,5%)</t>
  </si>
  <si>
    <t>&lt;2,5%;4,5%)</t>
  </si>
  <si>
    <t>&lt;4,5%;5,5%)</t>
  </si>
  <si>
    <t>&lt;5,5%;100%&gt;</t>
  </si>
  <si>
    <t>Podiel žiakov na súťažiach (F62)</t>
  </si>
  <si>
    <t>Počet žiakov, ktorí získali ocenenie v medzinárodných kolách súťaží alebo predmetových olympiád</t>
  </si>
  <si>
    <t>z nich počet žiakov, ktorí sa umiestnili na 1. - 3. mieste</t>
  </si>
  <si>
    <t>každý žiak x5</t>
  </si>
  <si>
    <t>1. až 3.miesto za každého žiaka 5 bodov</t>
  </si>
  <si>
    <t>Počet žiakov školy, ktorí sa zúčastnili celoslovenských kôl súťaží alebo predmetových olympiád</t>
  </si>
  <si>
    <r>
      <t xml:space="preserve">Počet žiakov </t>
    </r>
    <r>
      <rPr>
        <b/>
        <i/>
        <sz val="12"/>
        <color theme="1"/>
        <rFont val="Times New Roman"/>
        <family val="1"/>
        <charset val="238"/>
      </rPr>
      <t>prijatých</t>
    </r>
    <r>
      <rPr>
        <sz val="12"/>
        <color theme="1"/>
        <rFont val="Times New Roman"/>
        <family val="1"/>
        <charset val="238"/>
      </rPr>
      <t xml:space="preserve"> do 1. ročníka posudzovaného odboru</t>
    </r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</si>
  <si>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</si>
  <si>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</si>
  <si>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</si>
  <si>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</si>
  <si>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</si>
  <si>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</si>
  <si>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</si>
  <si>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</si>
  <si>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</si>
  <si>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</si>
  <si>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</si>
  <si>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</si>
  <si>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</si>
  <si>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</si>
  <si>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</si>
  <si>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</si>
  <si>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</si>
  <si>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</si>
  <si>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</si>
  <si>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</si>
  <si>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</si>
  <si>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</si>
  <si>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</si>
  <si>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</si>
  <si>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</si>
  <si>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</si>
  <si>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</si>
  <si>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</si>
  <si>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</si>
  <si>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</si>
  <si>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</si>
  <si>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</si>
  <si>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</si>
  <si>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</si>
  <si>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</si>
  <si>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</si>
  <si>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</si>
  <si>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počet žiakov, ktorí prospeli s vyznamenaním</t>
  </si>
  <si>
    <t>počet žiakov, ktorí prospeli veľmi dobre</t>
  </si>
  <si>
    <t>počet žiakov, ktorí prospeli</t>
  </si>
  <si>
    <t>II.c</t>
  </si>
  <si>
    <t>vzdelávacia oblasť teoretické vzdelávanie</t>
  </si>
  <si>
    <t>vzdelávacia oblasť praktická príprava</t>
  </si>
  <si>
    <r>
      <t xml:space="preserve">vzdelávacia oblasť </t>
    </r>
    <r>
      <rPr>
        <b/>
        <i/>
        <u/>
        <sz val="12"/>
        <color theme="1"/>
        <rFont val="Times New Roman"/>
        <family val="1"/>
        <charset val="238"/>
      </rPr>
      <t>teoretické vzdelávanie</t>
    </r>
  </si>
  <si>
    <r>
      <t xml:space="preserve">vzdelávacia oblasť </t>
    </r>
    <r>
      <rPr>
        <b/>
        <i/>
        <u/>
        <sz val="12"/>
        <color theme="1"/>
        <rFont val="Times New Roman"/>
        <family val="1"/>
        <charset val="238"/>
      </rPr>
      <t>praktická príprava</t>
    </r>
  </si>
  <si>
    <t>Naplnenosť tried</t>
  </si>
  <si>
    <t>Výsledky žiakov pri ukončovaní štúdia za predchádzajúci školský rok</t>
  </si>
  <si>
    <t>počet žiakov, ktorí absolvovali EČ MS z vyučovacieho jazyka 2 (iný ako SJL)</t>
  </si>
  <si>
    <t>dosiahnutá úroveň zhody ŠkVP so ŠVP</t>
  </si>
  <si>
    <t>Počet žiakov dennej formy štúdia v posudzovanom odbore vzdelávania, pre ktorý sa určuje počet tried 1. ročníka</t>
  </si>
  <si>
    <r>
      <t>počet absolventov (</t>
    </r>
    <r>
      <rPr>
        <b/>
        <i/>
        <sz val="12"/>
        <color indexed="8"/>
        <rFont val="Times New Roman"/>
        <family val="1"/>
        <charset val="238"/>
      </rPr>
      <t>predchádzajúce 2 ukončené školské roky)</t>
    </r>
  </si>
  <si>
    <t xml:space="preserve">Odbornosť vyučovania (%) vyučovacích predmetov </t>
  </si>
  <si>
    <t>konzervatórium</t>
  </si>
  <si>
    <t>výber</t>
  </si>
  <si>
    <t xml:space="preserve">Výsledky komplexnej inšpekcie </t>
  </si>
  <si>
    <t>uviesť rok výkonu</t>
  </si>
  <si>
    <t>uviesť počet</t>
  </si>
  <si>
    <t>Počet tried 1. ročníka, ktorý bol určený v predchádzajúcom šk. roku</t>
  </si>
  <si>
    <t>percentuálna úspešnosť PFIČ vo vyučovacom jazyku/vyučovacích jazykoch</t>
  </si>
  <si>
    <t>Počet odborov vzdelávania - študijné odbory</t>
  </si>
  <si>
    <t>Počet odborov vzdelávania - učebné odbory</t>
  </si>
  <si>
    <t>percentil školy v slovenskom jazyku a slovenskej literatúre (SJSL)</t>
  </si>
  <si>
    <t>počet žiakov, ktorí neúspešne vykonali MS v riadnom termíne</t>
  </si>
  <si>
    <t>percentil  školy vo vyučovacom jazyku 1 - SJL</t>
  </si>
  <si>
    <t>počet žiakov, ktorí absolvovali EČ MS z vyučovacieho jazyka 1 - slovenský jazyk a literatúra (SJL)</t>
  </si>
  <si>
    <t>počet žiakov, ktorí absolvovali EČ MS z anglického jazyka (ANJ) na úrovni B1</t>
  </si>
  <si>
    <t>percentil školy v ANJ na úrovni B1</t>
  </si>
  <si>
    <t>percentil školy v NEJ na úrovni B1</t>
  </si>
  <si>
    <t>percentil školy v RUJ na úrovni B1</t>
  </si>
  <si>
    <t>počet žiakov, ktorí absolvovali EČ MS z ANJ na úrovni B2</t>
  </si>
  <si>
    <t>percentil školy v ANJ na úrovni B2</t>
  </si>
  <si>
    <t>počet žiakov, ktorí absolvovali EČ MS z nemeckého jazyka (NEJ) na úrovni B1</t>
  </si>
  <si>
    <t>počet žiakov, ktorí absolvovali EČ MS z francúzskeho jazyka (FRJ) na úrovni B1</t>
  </si>
  <si>
    <t>počet žiakov, ktorí absolvovali EČ MS z ruského jazyka (RUJ) na úrovni B1</t>
  </si>
  <si>
    <t>percentil  školy v CUJ na úrovni B1</t>
  </si>
  <si>
    <t>počet žiakov, ktorí absolvovali EČMS z cudzích jazykov (CUJ) na úrovni B1</t>
  </si>
  <si>
    <t>počet žiakov, ktorí absolvovali EČ MS z nemeckého jazyka (NEJ) na úrovni B2</t>
  </si>
  <si>
    <t>percentil školy v NEJ na úrovni B2</t>
  </si>
  <si>
    <t>počet žiakov, ktorí absolvovali EČ MS z francúzskeho jazyka (FRJ) na úrovni B2</t>
  </si>
  <si>
    <t>počet žiakov, ktorí absolvovali EČ MS z ruského jazyka (RUJ) na úrovni B2</t>
  </si>
  <si>
    <t>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</si>
  <si>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</si>
  <si>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</si>
  <si>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</si>
  <si>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</si>
  <si>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</si>
  <si>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</si>
  <si>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</si>
  <si>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</si>
  <si>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</si>
  <si>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</si>
  <si>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</si>
  <si>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</si>
  <si>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percentil školy v RUJ na úrovni B2</t>
  </si>
  <si>
    <t>Kvantitatívna charakteristika školy</t>
  </si>
  <si>
    <t>percentil školy vo FRJ na úrovni B1</t>
  </si>
  <si>
    <t>percentil školy vo FRJ na úrovni B2</t>
  </si>
  <si>
    <t>názov</t>
  </si>
  <si>
    <t>kód</t>
  </si>
  <si>
    <t>Počet žiakov iných foriem štúdia</t>
  </si>
  <si>
    <t>všeobecné vzdelávanie</t>
  </si>
  <si>
    <r>
      <t>celkový týždenný počet vyučovacích hodín predmetov zaradených</t>
    </r>
    <r>
      <rPr>
        <b/>
        <i/>
        <sz val="12"/>
        <color theme="1"/>
        <rFont val="Times New Roman"/>
        <family val="1"/>
        <charset val="238"/>
      </rPr>
      <t xml:space="preserve"> do všeobecného vzdelávania</t>
    </r>
    <r>
      <rPr>
        <sz val="12"/>
        <color theme="1"/>
        <rFont val="Times New Roman"/>
        <family val="1"/>
        <charset val="238"/>
      </rPr>
      <t xml:space="preserve"> podľa ŠkVP posudzovaného odboru</t>
    </r>
  </si>
  <si>
    <r>
      <t xml:space="preserve">týždenný počet vyučovacích hodín predmetov zaradených </t>
    </r>
    <r>
      <rPr>
        <b/>
        <i/>
        <sz val="12"/>
        <color theme="1"/>
        <rFont val="Times New Roman"/>
        <family val="1"/>
        <charset val="238"/>
      </rPr>
      <t xml:space="preserve">do všeobecného vzdelávania </t>
    </r>
    <r>
      <rPr>
        <sz val="12"/>
        <color theme="1"/>
        <rFont val="Times New Roman"/>
        <family val="1"/>
        <charset val="238"/>
      </rPr>
      <t xml:space="preserve">podľa ŠkVP posudzovaného odboru, ktorý </t>
    </r>
    <r>
      <rPr>
        <b/>
        <i/>
        <sz val="12"/>
        <color theme="1"/>
        <rFont val="Times New Roman"/>
        <family val="1"/>
        <charset val="238"/>
      </rPr>
      <t>zabezpečujú pg.zamestnanci spĺňajúci kvalifikačné predpoklady a osobitné kvalifikačné požiadavky</t>
    </r>
  </si>
  <si>
    <t>odborné vzdelávanie</t>
  </si>
  <si>
    <r>
      <t xml:space="preserve">celkový týždenný počet vyučovacích hodín predmetov zaradených </t>
    </r>
    <r>
      <rPr>
        <b/>
        <i/>
        <sz val="12"/>
        <color theme="1"/>
        <rFont val="Times New Roman"/>
        <family val="1"/>
        <charset val="238"/>
      </rPr>
      <t xml:space="preserve">do vzdelávacej odblasti teoretického vzdelávania v rámci odborného vzdelávania </t>
    </r>
    <r>
      <rPr>
        <sz val="12"/>
        <color theme="1"/>
        <rFont val="Times New Roman"/>
        <family val="1"/>
        <charset val="238"/>
      </rPr>
      <t xml:space="preserve"> podľa ŠkVP posudzovaného odboru</t>
    </r>
  </si>
  <si>
    <r>
      <t xml:space="preserve">týždenný počet vyučovacích hodín predmetov zaradených </t>
    </r>
    <r>
      <rPr>
        <b/>
        <i/>
        <sz val="12"/>
        <color theme="1"/>
        <rFont val="Times New Roman"/>
        <family val="1"/>
        <charset val="238"/>
      </rPr>
      <t>do vzdelávacej oblasti teoretického vzdelávania v rámci odborného vzdelávania</t>
    </r>
    <r>
      <rPr>
        <sz val="12"/>
        <color theme="1"/>
        <rFont val="Times New Roman"/>
        <family val="1"/>
        <charset val="238"/>
      </rPr>
      <t xml:space="preserve"> podľa ŠkVP posudzovaného odboru, ktorý zabezpečujú pg.zamestnanci spĺňajúci kvalifikačné predpoklady a osobitné kvalifikačné požiadavky</t>
    </r>
  </si>
  <si>
    <r>
      <t xml:space="preserve">celkový týždenný počet vyučovacích hodín predmetov zaradených </t>
    </r>
    <r>
      <rPr>
        <b/>
        <i/>
        <sz val="12"/>
        <color theme="1"/>
        <rFont val="Times New Roman"/>
        <family val="1"/>
        <charset val="238"/>
      </rPr>
      <t xml:space="preserve">do vzdelávacej odblasti praktickej prípravy v rámci odborného vzdelávania </t>
    </r>
    <r>
      <rPr>
        <sz val="12"/>
        <color theme="1"/>
        <rFont val="Times New Roman"/>
        <family val="1"/>
        <charset val="238"/>
      </rPr>
      <t xml:space="preserve"> podľa ŠkVP posudzovaného odboru</t>
    </r>
  </si>
  <si>
    <r>
      <t xml:space="preserve">týždenný počet vyučovacích hodín predmetov zaradených </t>
    </r>
    <r>
      <rPr>
        <b/>
        <i/>
        <sz val="12"/>
        <color theme="1"/>
        <rFont val="Times New Roman"/>
        <family val="1"/>
        <charset val="238"/>
      </rPr>
      <t>do vzdelávacej oblasti praktickej prípravy v rámci odborného vzdelávania</t>
    </r>
    <r>
      <rPr>
        <sz val="12"/>
        <color theme="1"/>
        <rFont val="Times New Roman"/>
        <family val="1"/>
        <charset val="238"/>
      </rPr>
      <t xml:space="preserve"> podľa ŠkVP posudzovaného odboru, ktorý zabezpečujú pg.zamestnanci spĺňajúci kvalifikačné predpoklady a osobitné kvalifikačné požiadavky</t>
    </r>
  </si>
  <si>
    <t>Účasť školy v medzinárodných projektoch alebo medzinárodných programoch</t>
  </si>
  <si>
    <t>Účasť školy v medzinárodných projektoch alebo medzinárodných programoch, ktoré boli ukončené (posledných 5 rokov) - uviesť počet.</t>
  </si>
  <si>
    <t>Účasť školy v  medzinárodných projektoch alebo medzinárodných programoch, ktoré škola uskutočňuje (uviesť počet)</t>
  </si>
  <si>
    <t>IČO: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</si>
</sst>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sz val="12"/>
      <color theme="0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u/>
      <sz val="12"/>
      <color theme="1"/>
      <name val="Times New Roman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322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11" fillId="2" borderId="5" xfId="0" applyFont="1" applyFill="1" applyBorder="1" applyAlignment="1">
      <alignment horizontal="center" vertical="center"/>
    </xf>
    <xf numFmtId="2" fontId="13" fillId="3" borderId="13" xfId="0" applyNumberFormat="1" applyFont="1" applyFill="1" applyBorder="1" applyAlignment="1" applyProtection="1">
      <alignment horizontal="center" vertical="center" wrapText="1"/>
      <protection hidden="1"/>
    </xf>
    <xf numFmtId="1" fontId="13" fillId="3" borderId="14" xfId="0" applyNumberFormat="1" applyFont="1" applyFill="1" applyBorder="1" applyAlignment="1" applyProtection="1">
      <alignment horizontal="center" vertical="center" wrapText="1"/>
      <protection hidden="1"/>
    </xf>
    <xf numFmtId="1" fontId="14" fillId="3" borderId="1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13" fillId="2" borderId="12" xfId="0" applyFont="1" applyFill="1" applyBorder="1" applyAlignment="1" applyProtection="1">
      <alignment horizontal="center" vertical="center" wrapText="1"/>
      <protection locked="0" hidden="1"/>
    </xf>
    <xf numFmtId="0" fontId="12" fillId="0" borderId="16" xfId="0" applyFont="1" applyFill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horizontal="left"/>
      <protection hidden="1"/>
    </xf>
    <xf numFmtId="0" fontId="13" fillId="0" borderId="8" xfId="0" applyFont="1" applyFill="1" applyBorder="1" applyProtection="1">
      <protection locked="0" hidden="1"/>
    </xf>
    <xf numFmtId="0" fontId="0" fillId="0" borderId="6" xfId="0" applyFill="1" applyBorder="1" applyAlignment="1" applyProtection="1">
      <alignment vertical="center" wrapText="1"/>
      <protection locked="0" hidden="1"/>
    </xf>
    <xf numFmtId="1" fontId="14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7" xfId="0" applyFont="1" applyFill="1" applyBorder="1" applyProtection="1">
      <protection locked="0" hidden="1"/>
    </xf>
    <xf numFmtId="0" fontId="9" fillId="2" borderId="20" xfId="0" applyFont="1" applyFill="1" applyBorder="1" applyAlignment="1" applyProtection="1">
      <alignment horizontal="left" vertical="center" wrapText="1"/>
      <protection locked="0"/>
    </xf>
    <xf numFmtId="0" fontId="13" fillId="0" borderId="12" xfId="0" applyFont="1" applyBorder="1" applyProtection="1">
      <protection locked="0" hidden="1"/>
    </xf>
    <xf numFmtId="0" fontId="13" fillId="0" borderId="35" xfId="0" applyFont="1" applyFill="1" applyBorder="1" applyProtection="1">
      <protection locked="0" hidden="1"/>
    </xf>
    <xf numFmtId="0" fontId="13" fillId="0" borderId="6" xfId="0" applyFont="1" applyFill="1" applyBorder="1" applyProtection="1">
      <protection locked="0" hidden="1"/>
    </xf>
    <xf numFmtId="0" fontId="13" fillId="2" borderId="39" xfId="0" applyFont="1" applyFill="1" applyBorder="1" applyAlignment="1" applyProtection="1">
      <alignment horizontal="center" vertical="center" wrapText="1"/>
      <protection locked="0" hidden="1"/>
    </xf>
    <xf numFmtId="9" fontId="11" fillId="2" borderId="39" xfId="2" applyFont="1" applyFill="1" applyBorder="1" applyAlignment="1" applyProtection="1">
      <alignment horizontal="center" vertical="center" wrapText="1"/>
      <protection locked="0" hidden="1"/>
    </xf>
    <xf numFmtId="0" fontId="16" fillId="0" borderId="0" xfId="0" applyFont="1"/>
    <xf numFmtId="9" fontId="11" fillId="2" borderId="41" xfId="2" applyFont="1" applyFill="1" applyBorder="1" applyAlignment="1" applyProtection="1">
      <alignment horizontal="center" vertical="center" wrapText="1"/>
      <protection locked="0" hidden="1"/>
    </xf>
    <xf numFmtId="1" fontId="11" fillId="3" borderId="39" xfId="2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38" xfId="0" applyFont="1" applyBorder="1"/>
    <xf numFmtId="0" fontId="13" fillId="0" borderId="48" xfId="0" applyFont="1" applyBorder="1"/>
    <xf numFmtId="0" fontId="13" fillId="0" borderId="28" xfId="0" applyFont="1" applyBorder="1"/>
    <xf numFmtId="0" fontId="13" fillId="0" borderId="36" xfId="0" applyFont="1" applyBorder="1"/>
    <xf numFmtId="9" fontId="13" fillId="0" borderId="36" xfId="0" applyNumberFormat="1" applyFont="1" applyBorder="1"/>
    <xf numFmtId="0" fontId="18" fillId="0" borderId="49" xfId="0" applyFont="1" applyFill="1" applyBorder="1"/>
    <xf numFmtId="0" fontId="18" fillId="0" borderId="14" xfId="0" applyFont="1" applyFill="1" applyBorder="1"/>
    <xf numFmtId="0" fontId="13" fillId="0" borderId="50" xfId="0" applyFont="1" applyBorder="1"/>
    <xf numFmtId="0" fontId="13" fillId="0" borderId="40" xfId="0" applyFont="1" applyBorder="1"/>
    <xf numFmtId="0" fontId="13" fillId="8" borderId="17" xfId="0" applyFont="1" applyFill="1" applyBorder="1" applyAlignment="1" applyProtection="1">
      <alignment horizontal="center" vertical="center"/>
      <protection locked="0" hidden="1"/>
    </xf>
    <xf numFmtId="0" fontId="13" fillId="8" borderId="12" xfId="0" applyFont="1" applyFill="1" applyBorder="1" applyAlignment="1" applyProtection="1">
      <alignment horizontal="center" vertical="center"/>
      <protection locked="0" hidden="1"/>
    </xf>
    <xf numFmtId="0" fontId="13" fillId="8" borderId="12" xfId="0" applyFont="1" applyFill="1" applyBorder="1" applyAlignment="1" applyProtection="1">
      <alignment horizontal="center" vertical="center" wrapText="1"/>
      <protection locked="0" hidden="1"/>
    </xf>
    <xf numFmtId="9" fontId="11" fillId="3" borderId="17" xfId="2" applyFont="1" applyFill="1" applyBorder="1" applyAlignment="1" applyProtection="1">
      <alignment horizontal="center" vertical="center" wrapText="1"/>
      <protection hidden="1"/>
    </xf>
    <xf numFmtId="10" fontId="13" fillId="8" borderId="12" xfId="0" applyNumberFormat="1" applyFont="1" applyFill="1" applyBorder="1" applyAlignment="1" applyProtection="1">
      <alignment horizontal="center" vertical="center" wrapText="1"/>
      <protection locked="0" hidden="1"/>
    </xf>
    <xf numFmtId="10" fontId="13" fillId="8" borderId="13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8" borderId="13" xfId="2" applyNumberFormat="1" applyFont="1" applyFill="1" applyBorder="1" applyAlignment="1" applyProtection="1">
      <alignment horizontal="center" vertical="center" wrapText="1"/>
      <protection locked="0" hidden="1"/>
    </xf>
    <xf numFmtId="2" fontId="13" fillId="8" borderId="13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8" borderId="13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8" borderId="12" xfId="0" applyNumberFormat="1" applyFont="1" applyFill="1" applyBorder="1" applyAlignment="1" applyProtection="1">
      <alignment horizontal="center" vertical="center" wrapText="1"/>
      <protection locked="0" hidden="1"/>
    </xf>
    <xf numFmtId="2" fontId="14" fillId="3" borderId="16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/>
    <xf numFmtId="0" fontId="13" fillId="8" borderId="0" xfId="0" applyFont="1" applyFill="1"/>
    <xf numFmtId="2" fontId="0" fillId="0" borderId="0" xfId="0" applyNumberFormat="1"/>
    <xf numFmtId="0" fontId="0" fillId="0" borderId="14" xfId="0" applyBorder="1"/>
    <xf numFmtId="0" fontId="18" fillId="0" borderId="41" xfId="0" applyFont="1" applyFill="1" applyBorder="1"/>
    <xf numFmtId="0" fontId="0" fillId="0" borderId="28" xfId="0" applyBorder="1"/>
    <xf numFmtId="0" fontId="0" fillId="0" borderId="15" xfId="0" applyBorder="1"/>
    <xf numFmtId="0" fontId="13" fillId="0" borderId="57" xfId="0" applyFont="1" applyBorder="1"/>
    <xf numFmtId="0" fontId="13" fillId="0" borderId="59" xfId="0" applyFont="1" applyBorder="1"/>
    <xf numFmtId="0" fontId="8" fillId="2" borderId="6" xfId="0" applyFont="1" applyFill="1" applyBorder="1" applyAlignment="1" applyProtection="1">
      <alignment vertical="center"/>
      <protection locked="0" hidden="1"/>
    </xf>
    <xf numFmtId="0" fontId="8" fillId="2" borderId="16" xfId="0" applyFont="1" applyFill="1" applyBorder="1" applyAlignment="1" applyProtection="1">
      <alignment horizontal="center" vertical="center"/>
      <protection locked="0" hidden="1"/>
    </xf>
    <xf numFmtId="0" fontId="0" fillId="0" borderId="0" xfId="0" applyFill="1" applyAlignment="1"/>
    <xf numFmtId="0" fontId="13" fillId="0" borderId="45" xfId="0" applyFont="1" applyFill="1" applyBorder="1" applyAlignment="1">
      <alignment horizontal="center" vertical="center"/>
    </xf>
    <xf numFmtId="1" fontId="13" fillId="2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8" borderId="51" xfId="0" applyFont="1" applyFill="1" applyBorder="1" applyAlignment="1" applyProtection="1">
      <alignment horizontal="center" vertical="center" wrapText="1"/>
      <protection locked="0" hidden="1"/>
    </xf>
    <xf numFmtId="164" fontId="13" fillId="2" borderId="14" xfId="0" applyNumberFormat="1" applyFont="1" applyFill="1" applyBorder="1" applyAlignment="1" applyProtection="1">
      <alignment horizontal="center" vertical="center" wrapText="1"/>
      <protection locked="0" hidden="1"/>
    </xf>
    <xf numFmtId="164" fontId="13" fillId="2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8" xfId="0" applyFont="1" applyFill="1" applyBorder="1" applyAlignment="1" applyProtection="1">
      <alignment vertical="center"/>
      <protection locked="0" hidden="1"/>
    </xf>
    <xf numFmtId="0" fontId="13" fillId="8" borderId="17" xfId="0" applyFont="1" applyFill="1" applyBorder="1" applyProtection="1">
      <protection locked="0" hidden="1"/>
    </xf>
    <xf numFmtId="1" fontId="13" fillId="8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8" borderId="41" xfId="0" applyFont="1" applyFill="1" applyBorder="1" applyAlignment="1" applyProtection="1">
      <alignment horizontal="center" vertical="center"/>
      <protection locked="0" hidden="1"/>
    </xf>
    <xf numFmtId="0" fontId="13" fillId="8" borderId="12" xfId="0" applyFont="1" applyFill="1" applyBorder="1" applyAlignment="1" applyProtection="1">
      <alignment vertical="center"/>
      <protection locked="0" hidden="1"/>
    </xf>
    <xf numFmtId="1" fontId="17" fillId="2" borderId="41" xfId="0" applyNumberFormat="1" applyFont="1" applyFill="1" applyBorder="1" applyAlignment="1" applyProtection="1">
      <alignment horizontal="center" vertical="center" wrapText="1"/>
      <protection locked="0" hidden="1"/>
    </xf>
    <xf numFmtId="9" fontId="11" fillId="6" borderId="17" xfId="0" applyNumberFormat="1" applyFont="1" applyFill="1" applyBorder="1" applyAlignment="1" applyProtection="1">
      <alignment horizontal="center" vertical="center" wrapText="1"/>
      <protection hidden="1"/>
    </xf>
    <xf numFmtId="10" fontId="11" fillId="0" borderId="39" xfId="0" applyNumberFormat="1" applyFont="1" applyBorder="1" applyAlignment="1" applyProtection="1">
      <alignment horizontal="center" vertical="center" wrapText="1"/>
      <protection hidden="1"/>
    </xf>
    <xf numFmtId="9" fontId="11" fillId="6" borderId="13" xfId="0" applyNumberFormat="1" applyFont="1" applyFill="1" applyBorder="1" applyAlignment="1" applyProtection="1">
      <alignment horizontal="center" vertical="center" wrapText="1"/>
      <protection hidden="1"/>
    </xf>
    <xf numFmtId="9" fontId="11" fillId="3" borderId="12" xfId="0" applyNumberFormat="1" applyFont="1" applyFill="1" applyBorder="1" applyAlignment="1" applyProtection="1">
      <alignment horizontal="center" vertical="center" wrapText="1"/>
      <protection hidden="1"/>
    </xf>
    <xf numFmtId="9" fontId="11" fillId="3" borderId="39" xfId="0" applyNumberFormat="1" applyFont="1" applyFill="1" applyBorder="1" applyAlignment="1" applyProtection="1">
      <alignment horizontal="center" vertical="center" wrapText="1"/>
      <protection hidden="1"/>
    </xf>
    <xf numFmtId="1" fontId="11" fillId="3" borderId="39" xfId="2" applyNumberFormat="1" applyFont="1" applyFill="1" applyBorder="1" applyAlignment="1" applyProtection="1">
      <alignment horizontal="center" vertical="center" wrapText="1"/>
      <protection hidden="1"/>
    </xf>
    <xf numFmtId="0" fontId="13" fillId="0" borderId="39" xfId="0" applyFont="1" applyFill="1" applyBorder="1" applyAlignment="1" applyProtection="1">
      <alignment horizontal="center" vertical="center" wrapText="1"/>
      <protection hidden="1"/>
    </xf>
    <xf numFmtId="1" fontId="14" fillId="3" borderId="16" xfId="0" applyNumberFormat="1" applyFont="1" applyFill="1" applyBorder="1" applyAlignment="1" applyProtection="1">
      <alignment horizontal="center" vertical="center"/>
      <protection locked="0" hidden="1"/>
    </xf>
    <xf numFmtId="1" fontId="11" fillId="3" borderId="12" xfId="0" applyNumberFormat="1" applyFont="1" applyFill="1" applyBorder="1" applyAlignment="1" applyProtection="1">
      <alignment horizontal="center" vertical="center" wrapText="1"/>
      <protection hidden="1"/>
    </xf>
    <xf numFmtId="10" fontId="11" fillId="3" borderId="12" xfId="0" applyNumberFormat="1" applyFont="1" applyFill="1" applyBorder="1" applyAlignment="1" applyProtection="1">
      <alignment horizontal="center" vertical="center" wrapText="1"/>
      <protection hidden="1"/>
    </xf>
    <xf numFmtId="1" fontId="11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11" fillId="3" borderId="16" xfId="0" applyFont="1" applyFill="1" applyBorder="1" applyProtection="1">
      <protection hidden="1"/>
    </xf>
    <xf numFmtId="0" fontId="0" fillId="0" borderId="0" xfId="0" applyFill="1" applyProtection="1">
      <protection locked="0" hidden="1"/>
    </xf>
    <xf numFmtId="0" fontId="0" fillId="0" borderId="0" xfId="0" applyAlignment="1" applyProtection="1">
      <alignment horizontal="left"/>
      <protection locked="0" hidden="1"/>
    </xf>
    <xf numFmtId="1" fontId="13" fillId="0" borderId="8" xfId="0" applyNumberFormat="1" applyFont="1" applyFill="1" applyBorder="1" applyAlignment="1" applyProtection="1">
      <alignment horizontal="center" vertical="center" wrapText="1"/>
      <protection locked="0" hidden="1"/>
    </xf>
    <xf numFmtId="9" fontId="13" fillId="0" borderId="8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0" borderId="10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0" borderId="35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3" borderId="6" xfId="0" applyFont="1" applyFill="1" applyBorder="1" applyAlignment="1" applyProtection="1">
      <alignment horizontal="center" vertical="center"/>
      <protection locked="0" hidden="1"/>
    </xf>
    <xf numFmtId="2" fontId="13" fillId="0" borderId="8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0" borderId="10" xfId="2" applyNumberFormat="1" applyFont="1" applyFill="1" applyBorder="1" applyAlignment="1" applyProtection="1">
      <alignment horizontal="center" vertical="center" wrapText="1"/>
      <protection locked="0" hidden="1"/>
    </xf>
    <xf numFmtId="1" fontId="0" fillId="4" borderId="6" xfId="0" applyNumberFormat="1" applyFill="1" applyBorder="1" applyProtection="1">
      <protection locked="0" hidden="1"/>
    </xf>
    <xf numFmtId="0" fontId="13" fillId="0" borderId="7" xfId="0" applyFont="1" applyFill="1" applyBorder="1" applyAlignment="1" applyProtection="1">
      <alignment horizontal="center" vertical="center" wrapText="1"/>
      <protection locked="0" hidden="1"/>
    </xf>
    <xf numFmtId="0" fontId="13" fillId="0" borderId="8" xfId="0" applyFont="1" applyFill="1" applyBorder="1" applyAlignment="1" applyProtection="1">
      <alignment horizontal="center" vertical="center" wrapText="1"/>
      <protection locked="0" hidden="1"/>
    </xf>
    <xf numFmtId="0" fontId="13" fillId="0" borderId="10" xfId="0" applyFont="1" applyFill="1" applyBorder="1" applyAlignment="1" applyProtection="1">
      <alignment horizontal="center" vertical="center" wrapText="1"/>
      <protection locked="0" hidden="1"/>
    </xf>
    <xf numFmtId="0" fontId="13" fillId="0" borderId="11" xfId="0" applyFont="1" applyFill="1" applyBorder="1" applyAlignment="1" applyProtection="1">
      <alignment horizontal="center" vertical="center" wrapText="1"/>
      <protection locked="0" hidden="1"/>
    </xf>
    <xf numFmtId="0" fontId="13" fillId="0" borderId="15" xfId="0" applyFont="1" applyFill="1" applyBorder="1" applyAlignment="1" applyProtection="1">
      <alignment horizontal="center" vertical="center" wrapText="1"/>
      <protection locked="0" hidden="1"/>
    </xf>
    <xf numFmtId="0" fontId="13" fillId="0" borderId="16" xfId="0" applyFont="1" applyFill="1" applyBorder="1" applyAlignment="1" applyProtection="1">
      <alignment horizontal="center" vertical="center" wrapText="1"/>
      <protection locked="0" hidden="1"/>
    </xf>
    <xf numFmtId="10" fontId="13" fillId="0" borderId="39" xfId="2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12" xfId="0" applyFont="1" applyFill="1" applyBorder="1" applyAlignment="1" applyProtection="1">
      <alignment horizontal="center" vertical="center" wrapText="1"/>
      <protection locked="0" hidden="1"/>
    </xf>
    <xf numFmtId="10" fontId="13" fillId="0" borderId="12" xfId="2" applyNumberFormat="1" applyFont="1" applyFill="1" applyBorder="1" applyAlignment="1" applyProtection="1">
      <alignment horizontal="center" vertical="center" wrapText="1"/>
      <protection locked="0" hidden="1"/>
    </xf>
    <xf numFmtId="0" fontId="13" fillId="4" borderId="6" xfId="0" applyFont="1" applyFill="1" applyBorder="1" applyAlignment="1" applyProtection="1">
      <alignment horizontal="center" vertical="center" wrapText="1"/>
      <protection locked="0" hidden="1"/>
    </xf>
    <xf numFmtId="0" fontId="0" fillId="0" borderId="6" xfId="0" applyFill="1" applyBorder="1" applyProtection="1">
      <protection locked="0" hidden="1"/>
    </xf>
    <xf numFmtId="0" fontId="12" fillId="0" borderId="6" xfId="0" applyFont="1" applyFill="1" applyBorder="1" applyAlignment="1" applyProtection="1">
      <alignment horizontal="center" vertical="center"/>
      <protection locked="0" hidden="1"/>
    </xf>
    <xf numFmtId="10" fontId="7" fillId="0" borderId="7" xfId="2" applyNumberFormat="1" applyFont="1" applyFill="1" applyBorder="1" applyProtection="1">
      <protection locked="0" hidden="1"/>
    </xf>
    <xf numFmtId="0" fontId="13" fillId="0" borderId="7" xfId="0" applyFont="1" applyFill="1" applyBorder="1" applyAlignment="1" applyProtection="1">
      <alignment horizontal="center" vertical="center"/>
      <protection locked="0" hidden="1"/>
    </xf>
    <xf numFmtId="10" fontId="7" fillId="0" borderId="10" xfId="2" applyNumberFormat="1" applyFont="1" applyFill="1" applyBorder="1" applyProtection="1">
      <protection locked="0" hidden="1"/>
    </xf>
    <xf numFmtId="0" fontId="13" fillId="0" borderId="10" xfId="0" applyFont="1" applyFill="1" applyBorder="1" applyAlignment="1" applyProtection="1">
      <alignment horizontal="center" vertical="center"/>
      <protection locked="0" hidden="1"/>
    </xf>
    <xf numFmtId="0" fontId="0" fillId="0" borderId="10" xfId="0" applyFill="1" applyBorder="1" applyProtection="1">
      <protection locked="0" hidden="1"/>
    </xf>
    <xf numFmtId="1" fontId="14" fillId="0" borderId="35" xfId="0" applyNumberFormat="1" applyFont="1" applyFill="1" applyBorder="1" applyAlignment="1" applyProtection="1">
      <alignment horizontal="center" vertical="center" wrapText="1"/>
      <protection locked="0" hidden="1"/>
    </xf>
    <xf numFmtId="1" fontId="11" fillId="3" borderId="6" xfId="0" applyNumberFormat="1" applyFont="1" applyFill="1" applyBorder="1" applyAlignment="1" applyProtection="1">
      <alignment horizontal="center"/>
      <protection locked="0" hidden="1"/>
    </xf>
    <xf numFmtId="2" fontId="11" fillId="3" borderId="7" xfId="0" applyNumberFormat="1" applyFont="1" applyFill="1" applyBorder="1" applyAlignment="1" applyProtection="1">
      <alignment horizontal="center" vertical="center"/>
      <protection locked="0" hidden="1"/>
    </xf>
    <xf numFmtId="1" fontId="13" fillId="0" borderId="8" xfId="0" applyNumberFormat="1" applyFont="1" applyFill="1" applyBorder="1" applyAlignment="1" applyProtection="1">
      <alignment horizontal="center" vertical="center"/>
      <protection locked="0" hidden="1"/>
    </xf>
    <xf numFmtId="1" fontId="18" fillId="6" borderId="8" xfId="0" applyNumberFormat="1" applyFont="1" applyFill="1" applyBorder="1" applyAlignment="1" applyProtection="1">
      <alignment horizontal="center" vertical="center"/>
      <protection locked="0" hidden="1"/>
    </xf>
    <xf numFmtId="2" fontId="11" fillId="3" borderId="8" xfId="0" applyNumberFormat="1" applyFont="1" applyFill="1" applyBorder="1" applyAlignment="1" applyProtection="1">
      <alignment vertical="center" wrapText="1"/>
      <protection locked="0" hidden="1"/>
    </xf>
    <xf numFmtId="0" fontId="13" fillId="0" borderId="10" xfId="0" applyFont="1" applyBorder="1" applyAlignment="1" applyProtection="1">
      <alignment vertical="center" wrapText="1"/>
      <protection locked="0" hidden="1"/>
    </xf>
    <xf numFmtId="10" fontId="13" fillId="0" borderId="9" xfId="2" applyNumberFormat="1" applyFont="1" applyBorder="1" applyAlignment="1" applyProtection="1">
      <alignment vertical="center" wrapText="1"/>
      <protection locked="0" hidden="1"/>
    </xf>
    <xf numFmtId="10" fontId="13" fillId="0" borderId="9" xfId="2" applyNumberFormat="1" applyFont="1" applyFill="1" applyBorder="1" applyAlignment="1" applyProtection="1">
      <alignment horizontal="center" vertical="center" wrapText="1"/>
      <protection locked="0" hidden="1"/>
    </xf>
    <xf numFmtId="2" fontId="13" fillId="3" borderId="6" xfId="0" applyNumberFormat="1" applyFont="1" applyFill="1" applyBorder="1" applyAlignment="1" applyProtection="1">
      <alignment horizontal="center"/>
      <protection locked="0" hidden="1"/>
    </xf>
    <xf numFmtId="0" fontId="13" fillId="3" borderId="6" xfId="0" applyFont="1" applyFill="1" applyBorder="1" applyAlignment="1" applyProtection="1">
      <alignment horizontal="center" vertical="center" wrapText="1"/>
      <protection locked="0" hidden="1"/>
    </xf>
    <xf numFmtId="0" fontId="13" fillId="3" borderId="7" xfId="0" applyFont="1" applyFill="1" applyBorder="1" applyAlignment="1" applyProtection="1">
      <alignment horizontal="center" vertical="center"/>
      <protection locked="0" hidden="1"/>
    </xf>
    <xf numFmtId="10" fontId="13" fillId="0" borderId="7" xfId="2" applyNumberFormat="1" applyFont="1" applyFill="1" applyBorder="1" applyAlignment="1" applyProtection="1">
      <alignment horizontal="center" vertical="center" wrapText="1"/>
      <protection locked="0" hidden="1"/>
    </xf>
    <xf numFmtId="1" fontId="13" fillId="0" borderId="15" xfId="0" applyNumberFormat="1" applyFont="1" applyBorder="1" applyAlignment="1" applyProtection="1">
      <alignment horizontal="center" vertical="center"/>
      <protection locked="0" hidden="1"/>
    </xf>
    <xf numFmtId="9" fontId="13" fillId="0" borderId="15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0" borderId="10" xfId="0" applyNumberFormat="1" applyFont="1" applyBorder="1" applyAlignment="1" applyProtection="1">
      <alignment horizontal="center" vertical="center"/>
      <protection locked="0" hidden="1"/>
    </xf>
    <xf numFmtId="9" fontId="13" fillId="0" borderId="10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0" borderId="8" xfId="0" applyNumberFormat="1" applyFont="1" applyBorder="1" applyAlignment="1" applyProtection="1">
      <alignment horizontal="center" vertical="center"/>
      <protection locked="0" hidden="1"/>
    </xf>
    <xf numFmtId="1" fontId="13" fillId="3" borderId="6" xfId="0" applyNumberFormat="1" applyFont="1" applyFill="1" applyBorder="1" applyAlignment="1" applyProtection="1">
      <alignment horizontal="center" vertical="center"/>
      <protection locked="0" hidden="1"/>
    </xf>
    <xf numFmtId="1" fontId="13" fillId="3" borderId="39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3" borderId="12" xfId="0" applyFont="1" applyFill="1" applyBorder="1" applyAlignment="1" applyProtection="1">
      <alignment horizontal="center" vertical="center" wrapText="1"/>
      <protection locked="0" hidden="1"/>
    </xf>
    <xf numFmtId="1" fontId="13" fillId="0" borderId="8" xfId="0" applyNumberFormat="1" applyFont="1" applyBorder="1" applyAlignment="1" applyProtection="1">
      <alignment horizontal="center" vertical="center" wrapText="1"/>
      <protection locked="0" hidden="1"/>
    </xf>
    <xf numFmtId="0" fontId="13" fillId="3" borderId="41" xfId="0" applyFont="1" applyFill="1" applyBorder="1" applyAlignment="1" applyProtection="1">
      <alignment horizontal="center" vertical="center" wrapText="1"/>
      <protection locked="0" hidden="1"/>
    </xf>
    <xf numFmtId="164" fontId="13" fillId="0" borderId="8" xfId="0" applyNumberFormat="1" applyFont="1" applyBorder="1" applyAlignment="1" applyProtection="1">
      <alignment horizontal="center" vertical="center" wrapText="1"/>
      <protection locked="0" hidden="1"/>
    </xf>
    <xf numFmtId="2" fontId="19" fillId="3" borderId="6" xfId="0" applyNumberFormat="1" applyFont="1" applyFill="1" applyBorder="1" applyAlignment="1" applyProtection="1">
      <alignment vertical="center" wrapText="1"/>
      <protection locked="0" hidden="1"/>
    </xf>
    <xf numFmtId="1" fontId="11" fillId="0" borderId="17" xfId="0" applyNumberFormat="1" applyFont="1" applyFill="1" applyBorder="1" applyAlignment="1" applyProtection="1">
      <alignment vertical="center" wrapText="1"/>
      <protection locked="0" hidden="1"/>
    </xf>
    <xf numFmtId="1" fontId="13" fillId="0" borderId="39" xfId="0" applyNumberFormat="1" applyFont="1" applyFill="1" applyBorder="1" applyAlignment="1" applyProtection="1">
      <alignment vertical="center" wrapText="1"/>
      <protection locked="0" hidden="1"/>
    </xf>
    <xf numFmtId="0" fontId="13" fillId="0" borderId="12" xfId="0" applyFont="1" applyFill="1" applyBorder="1" applyAlignment="1" applyProtection="1">
      <alignment vertical="center" wrapText="1"/>
      <protection locked="0" hidden="1"/>
    </xf>
    <xf numFmtId="1" fontId="13" fillId="0" borderId="12" xfId="0" applyNumberFormat="1" applyFont="1" applyFill="1" applyBorder="1" applyAlignment="1" applyProtection="1">
      <alignment vertical="center" wrapText="1"/>
      <protection locked="0" hidden="1"/>
    </xf>
    <xf numFmtId="0" fontId="13" fillId="0" borderId="13" xfId="0" applyFont="1" applyFill="1" applyBorder="1" applyAlignment="1" applyProtection="1">
      <alignment vertical="center" wrapText="1"/>
      <protection locked="0" hidden="1"/>
    </xf>
    <xf numFmtId="0" fontId="13" fillId="0" borderId="12" xfId="0" applyFont="1" applyFill="1" applyBorder="1" applyAlignment="1" applyProtection="1">
      <alignment horizontal="right" vertical="center"/>
      <protection locked="0" hidden="1"/>
    </xf>
    <xf numFmtId="0" fontId="13" fillId="0" borderId="13" xfId="0" applyFont="1" applyFill="1" applyBorder="1" applyAlignment="1" applyProtection="1">
      <alignment horizontal="right" vertical="center"/>
      <protection locked="0" hidden="1"/>
    </xf>
    <xf numFmtId="10" fontId="13" fillId="0" borderId="12" xfId="2" applyNumberFormat="1" applyFont="1" applyFill="1" applyBorder="1" applyAlignment="1" applyProtection="1">
      <alignment horizontal="right" vertical="center"/>
      <protection locked="0" hidden="1"/>
    </xf>
    <xf numFmtId="0" fontId="13" fillId="0" borderId="14" xfId="0" applyFont="1" applyFill="1" applyBorder="1" applyAlignment="1" applyProtection="1">
      <alignment vertical="center" wrapText="1"/>
      <protection locked="0" hidden="1"/>
    </xf>
    <xf numFmtId="10" fontId="13" fillId="0" borderId="13" xfId="2" applyNumberFormat="1" applyFont="1" applyFill="1" applyBorder="1" applyAlignment="1" applyProtection="1">
      <alignment vertical="center" wrapText="1"/>
      <protection locked="0" hidden="1"/>
    </xf>
    <xf numFmtId="1" fontId="13" fillId="0" borderId="16" xfId="2" applyNumberFormat="1" applyFont="1" applyFill="1" applyBorder="1" applyAlignment="1" applyProtection="1">
      <alignment vertical="center" wrapText="1"/>
      <protection locked="0" hidden="1"/>
    </xf>
    <xf numFmtId="1" fontId="13" fillId="0" borderId="39" xfId="2" applyNumberFormat="1" applyFont="1" applyFill="1" applyBorder="1" applyAlignment="1" applyProtection="1">
      <alignment vertical="center" wrapText="1"/>
      <protection locked="0" hidden="1"/>
    </xf>
    <xf numFmtId="1" fontId="13" fillId="0" borderId="12" xfId="2" applyNumberFormat="1" applyFont="1" applyFill="1" applyBorder="1" applyAlignment="1" applyProtection="1">
      <alignment vertical="center" wrapText="1"/>
      <protection locked="0" hidden="1"/>
    </xf>
    <xf numFmtId="1" fontId="13" fillId="3" borderId="6" xfId="0" applyNumberFormat="1" applyFont="1" applyFill="1" applyBorder="1" applyAlignment="1" applyProtection="1">
      <alignment vertical="center" wrapText="1"/>
      <protection locked="0" hidden="1"/>
    </xf>
    <xf numFmtId="1" fontId="11" fillId="0" borderId="7" xfId="0" applyNumberFormat="1" applyFont="1" applyBorder="1" applyAlignment="1" applyProtection="1">
      <alignment horizontal="right"/>
      <protection locked="0" hidden="1"/>
    </xf>
    <xf numFmtId="0" fontId="13" fillId="0" borderId="10" xfId="0" applyFont="1" applyBorder="1" applyAlignment="1" applyProtection="1">
      <alignment horizontal="right" vertical="center"/>
      <protection locked="0" hidden="1"/>
    </xf>
    <xf numFmtId="0" fontId="13" fillId="0" borderId="6" xfId="0" applyFont="1" applyBorder="1" applyAlignment="1" applyProtection="1">
      <alignment horizontal="right" vertical="center" wrapText="1"/>
      <protection locked="0" hidden="1"/>
    </xf>
    <xf numFmtId="0" fontId="13" fillId="0" borderId="7" xfId="0" applyFont="1" applyBorder="1" applyAlignment="1" applyProtection="1">
      <alignment horizontal="right"/>
      <protection locked="0" hidden="1"/>
    </xf>
    <xf numFmtId="0" fontId="13" fillId="0" borderId="35" xfId="0" applyFont="1" applyFill="1" applyBorder="1" applyAlignment="1" applyProtection="1">
      <alignment horizontal="right"/>
      <protection locked="0" hidden="1"/>
    </xf>
    <xf numFmtId="0" fontId="13" fillId="0" borderId="39" xfId="0" applyFont="1" applyFill="1" applyBorder="1" applyAlignment="1" applyProtection="1">
      <alignment vertical="center" wrapText="1"/>
      <protection locked="0" hidden="1"/>
    </xf>
    <xf numFmtId="1" fontId="11" fillId="3" borderId="17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0" borderId="17" xfId="0" applyNumberFormat="1" applyFont="1" applyFill="1" applyBorder="1" applyAlignment="1" applyProtection="1">
      <alignment vertical="center" wrapText="1"/>
      <protection locked="0" hidden="1"/>
    </xf>
    <xf numFmtId="1" fontId="13" fillId="0" borderId="51" xfId="0" applyNumberFormat="1" applyFont="1" applyFill="1" applyBorder="1" applyAlignment="1" applyProtection="1">
      <alignment vertical="center" wrapText="1"/>
      <protection locked="0" hidden="1"/>
    </xf>
    <xf numFmtId="0" fontId="13" fillId="0" borderId="9" xfId="0" applyFont="1" applyFill="1" applyBorder="1" applyAlignment="1" applyProtection="1">
      <alignment horizontal="center" vertical="center" wrapText="1"/>
      <protection locked="0" hidden="1"/>
    </xf>
    <xf numFmtId="1" fontId="11" fillId="3" borderId="17" xfId="2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51" xfId="0" applyFont="1" applyBorder="1" applyProtection="1">
      <protection locked="0" hidden="1"/>
    </xf>
    <xf numFmtId="0" fontId="13" fillId="0" borderId="38" xfId="0" applyFont="1" applyFill="1" applyBorder="1" applyAlignment="1" applyProtection="1">
      <alignment horizontal="center" vertical="center"/>
      <protection hidden="1"/>
    </xf>
    <xf numFmtId="0" fontId="13" fillId="0" borderId="20" xfId="0" applyFont="1" applyFill="1" applyBorder="1" applyAlignment="1" applyProtection="1">
      <alignment vertical="center" wrapText="1"/>
      <protection hidden="1"/>
    </xf>
    <xf numFmtId="0" fontId="13" fillId="0" borderId="18" xfId="0" applyFont="1" applyFill="1" applyBorder="1" applyAlignment="1" applyProtection="1">
      <alignment horizontal="right" vertical="center"/>
      <protection hidden="1"/>
    </xf>
    <xf numFmtId="0" fontId="13" fillId="0" borderId="44" xfId="0" applyFont="1" applyFill="1" applyBorder="1" applyAlignment="1" applyProtection="1">
      <alignment horizontal="center" vertical="center"/>
      <protection hidden="1"/>
    </xf>
    <xf numFmtId="0" fontId="13" fillId="0" borderId="21" xfId="0" applyFont="1" applyFill="1" applyBorder="1" applyAlignment="1" applyProtection="1">
      <alignment vertical="center" wrapText="1"/>
      <protection hidden="1"/>
    </xf>
    <xf numFmtId="0" fontId="13" fillId="0" borderId="24" xfId="0" applyFont="1" applyFill="1" applyBorder="1" applyAlignment="1" applyProtection="1">
      <alignment horizontal="right" vertical="center"/>
      <protection hidden="1"/>
    </xf>
    <xf numFmtId="0" fontId="13" fillId="0" borderId="28" xfId="0" applyFont="1" applyFill="1" applyBorder="1" applyAlignment="1" applyProtection="1">
      <alignment horizontal="center" vertical="center"/>
      <protection hidden="1"/>
    </xf>
    <xf numFmtId="0" fontId="13" fillId="0" borderId="21" xfId="0" applyFont="1" applyFill="1" applyBorder="1" applyAlignment="1" applyProtection="1">
      <alignment horizontal="left" vertical="center" wrapText="1"/>
      <protection hidden="1"/>
    </xf>
    <xf numFmtId="0" fontId="13" fillId="0" borderId="50" xfId="0" applyFont="1" applyFill="1" applyBorder="1" applyAlignment="1" applyProtection="1">
      <alignment horizontal="center" vertical="center"/>
      <protection hidden="1"/>
    </xf>
    <xf numFmtId="0" fontId="13" fillId="0" borderId="52" xfId="0" applyFont="1" applyFill="1" applyBorder="1" applyAlignment="1" applyProtection="1">
      <alignment vertical="center" wrapText="1"/>
      <protection hidden="1"/>
    </xf>
    <xf numFmtId="0" fontId="9" fillId="6" borderId="20" xfId="0" applyFont="1" applyFill="1" applyBorder="1" applyAlignment="1" applyProtection="1">
      <alignment horizontal="left" vertical="center" wrapText="1"/>
      <protection hidden="1"/>
    </xf>
    <xf numFmtId="0" fontId="9" fillId="2" borderId="1" xfId="0" applyFont="1" applyFill="1" applyBorder="1" applyAlignment="1" applyProtection="1">
      <alignment horizontal="right" vertical="center" wrapText="1"/>
      <protection hidden="1"/>
    </xf>
    <xf numFmtId="0" fontId="13" fillId="0" borderId="45" xfId="0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right" vertical="center" wrapText="1"/>
    </xf>
    <xf numFmtId="0" fontId="15" fillId="7" borderId="2" xfId="0" applyFont="1" applyFill="1" applyBorder="1" applyAlignment="1" applyProtection="1">
      <alignment horizontal="center" vertical="center"/>
    </xf>
    <xf numFmtId="0" fontId="15" fillId="7" borderId="3" xfId="0" applyFont="1" applyFill="1" applyBorder="1" applyAlignment="1" applyProtection="1">
      <alignment horizontal="left" vertical="center" wrapText="1"/>
    </xf>
    <xf numFmtId="0" fontId="11" fillId="5" borderId="4" xfId="0" applyFont="1" applyFill="1" applyBorder="1" applyAlignment="1" applyProtection="1">
      <alignment horizontal="center" vertical="center"/>
    </xf>
    <xf numFmtId="0" fontId="13" fillId="0" borderId="38" xfId="0" applyFont="1" applyFill="1" applyBorder="1" applyAlignment="1" applyProtection="1">
      <alignment horizontal="center" vertical="center"/>
    </xf>
    <xf numFmtId="0" fontId="11" fillId="0" borderId="29" xfId="0" applyFont="1" applyFill="1" applyBorder="1" applyAlignment="1" applyProtection="1">
      <alignment horizontal="left" vertical="center" wrapText="1"/>
    </xf>
    <xf numFmtId="0" fontId="13" fillId="0" borderId="18" xfId="0" applyFont="1" applyFill="1" applyBorder="1" applyAlignment="1" applyProtection="1">
      <alignment horizontal="left" vertical="center" wrapText="1"/>
    </xf>
    <xf numFmtId="0" fontId="13" fillId="0" borderId="28" xfId="0" applyFont="1" applyFill="1" applyBorder="1" applyAlignment="1" applyProtection="1">
      <alignment horizontal="center" vertical="center"/>
    </xf>
    <xf numFmtId="0" fontId="13" fillId="0" borderId="43" xfId="0" applyFont="1" applyFill="1" applyBorder="1" applyAlignment="1" applyProtection="1">
      <alignment horizontal="left" vertical="center" wrapText="1"/>
    </xf>
    <xf numFmtId="0" fontId="13" fillId="0" borderId="19" xfId="0" applyFont="1" applyFill="1" applyBorder="1" applyAlignment="1" applyProtection="1">
      <alignment horizontal="right" vertical="center" wrapText="1"/>
    </xf>
    <xf numFmtId="0" fontId="11" fillId="0" borderId="43" xfId="0" applyFont="1" applyFill="1" applyBorder="1" applyAlignment="1" applyProtection="1">
      <alignment horizontal="left" vertical="center" wrapText="1"/>
    </xf>
    <xf numFmtId="0" fontId="13" fillId="0" borderId="30" xfId="0" applyFont="1" applyFill="1" applyBorder="1" applyAlignment="1" applyProtection="1">
      <alignment horizontal="right" vertical="center" wrapText="1"/>
    </xf>
    <xf numFmtId="0" fontId="13" fillId="0" borderId="21" xfId="0" applyFont="1" applyFill="1" applyBorder="1" applyAlignment="1" applyProtection="1">
      <alignment horizontal="left" vertical="center" wrapText="1"/>
    </xf>
    <xf numFmtId="0" fontId="13" fillId="0" borderId="24" xfId="0" applyFont="1" applyFill="1" applyBorder="1" applyAlignment="1" applyProtection="1">
      <alignment horizontal="right" wrapText="1"/>
    </xf>
    <xf numFmtId="0" fontId="13" fillId="0" borderId="57" xfId="0" applyFont="1" applyFill="1" applyBorder="1" applyAlignment="1" applyProtection="1">
      <alignment horizontal="center" vertical="center"/>
    </xf>
    <xf numFmtId="0" fontId="13" fillId="0" borderId="58" xfId="0" applyFont="1" applyFill="1" applyBorder="1" applyAlignment="1" applyProtection="1">
      <alignment horizontal="right" wrapText="1"/>
    </xf>
    <xf numFmtId="0" fontId="13" fillId="0" borderId="9" xfId="0" applyFont="1" applyBorder="1" applyAlignment="1" applyProtection="1">
      <alignment horizontal="right"/>
    </xf>
    <xf numFmtId="0" fontId="15" fillId="7" borderId="45" xfId="0" applyFont="1" applyFill="1" applyBorder="1" applyAlignment="1" applyProtection="1">
      <alignment horizontal="center" vertical="center"/>
    </xf>
    <xf numFmtId="0" fontId="15" fillId="7" borderId="3" xfId="0" applyFont="1" applyFill="1" applyBorder="1" applyAlignment="1" applyProtection="1">
      <alignment horizontal="left" vertical="center"/>
    </xf>
    <xf numFmtId="0" fontId="14" fillId="0" borderId="38" xfId="0" applyFont="1" applyFill="1" applyBorder="1" applyAlignment="1" applyProtection="1">
      <alignment horizontal="right" vertical="center"/>
    </xf>
    <xf numFmtId="0" fontId="14" fillId="0" borderId="29" xfId="0" applyFont="1" applyBorder="1" applyAlignment="1" applyProtection="1">
      <alignment horizontal="left" vertical="center" wrapText="1"/>
    </xf>
    <xf numFmtId="9" fontId="13" fillId="0" borderId="18" xfId="0" applyNumberFormat="1" applyFont="1" applyBorder="1" applyAlignment="1" applyProtection="1">
      <alignment horizontal="left" vertical="center" wrapText="1"/>
    </xf>
    <xf numFmtId="0" fontId="13" fillId="0" borderId="50" xfId="0" applyFont="1" applyFill="1" applyBorder="1" applyAlignment="1" applyProtection="1">
      <alignment horizontal="center" vertical="center"/>
    </xf>
    <xf numFmtId="0" fontId="11" fillId="0" borderId="22" xfId="0" applyFont="1" applyFill="1" applyBorder="1" applyAlignment="1" applyProtection="1">
      <alignment vertical="center" wrapText="1"/>
    </xf>
    <xf numFmtId="0" fontId="13" fillId="0" borderId="40" xfId="0" applyFont="1" applyFill="1" applyBorder="1" applyAlignment="1" applyProtection="1">
      <alignment vertical="center" wrapText="1"/>
    </xf>
    <xf numFmtId="0" fontId="14" fillId="0" borderId="21" xfId="0" applyFont="1" applyFill="1" applyBorder="1" applyAlignment="1" applyProtection="1">
      <alignment vertical="center" wrapText="1"/>
    </xf>
    <xf numFmtId="0" fontId="13" fillId="0" borderId="36" xfId="0" applyFont="1" applyFill="1" applyBorder="1" applyAlignment="1" applyProtection="1">
      <alignment vertical="center" wrapText="1"/>
    </xf>
    <xf numFmtId="0" fontId="13" fillId="0" borderId="44" xfId="0" applyFont="1" applyFill="1" applyBorder="1" applyAlignment="1" applyProtection="1">
      <alignment horizontal="center" vertical="center"/>
    </xf>
    <xf numFmtId="0" fontId="13" fillId="0" borderId="43" xfId="0" applyFont="1" applyFill="1" applyBorder="1" applyAlignment="1" applyProtection="1">
      <alignment vertical="center" wrapText="1"/>
    </xf>
    <xf numFmtId="0" fontId="13" fillId="0" borderId="22" xfId="0" applyFont="1" applyFill="1" applyBorder="1" applyAlignment="1" applyProtection="1">
      <alignment vertical="center" wrapText="1"/>
    </xf>
    <xf numFmtId="0" fontId="13" fillId="0" borderId="26" xfId="0" applyFont="1" applyFill="1" applyBorder="1" applyAlignment="1" applyProtection="1">
      <alignment horizontal="right" vertical="center" wrapText="1"/>
    </xf>
    <xf numFmtId="0" fontId="13" fillId="0" borderId="24" xfId="0" applyFont="1" applyFill="1" applyBorder="1" applyAlignment="1" applyProtection="1">
      <alignment horizontal="right" vertical="center" wrapText="1"/>
    </xf>
    <xf numFmtId="0" fontId="23" fillId="0" borderId="43" xfId="0" applyFont="1" applyFill="1" applyBorder="1" applyAlignment="1" applyProtection="1">
      <alignment horizontal="left" vertical="center" wrapText="1"/>
    </xf>
    <xf numFmtId="0" fontId="13" fillId="0" borderId="64" xfId="0" applyFont="1" applyFill="1" applyBorder="1" applyAlignment="1" applyProtection="1">
      <alignment horizontal="right" vertical="center" wrapText="1"/>
    </xf>
    <xf numFmtId="0" fontId="13" fillId="0" borderId="21" xfId="0" applyFont="1" applyFill="1" applyBorder="1" applyAlignment="1" applyProtection="1">
      <alignment vertical="center" wrapText="1"/>
    </xf>
    <xf numFmtId="0" fontId="23" fillId="0" borderId="21" xfId="0" applyFont="1" applyFill="1" applyBorder="1" applyAlignment="1" applyProtection="1">
      <alignment vertical="center" wrapText="1"/>
    </xf>
    <xf numFmtId="0" fontId="13" fillId="0" borderId="42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right" vertical="center" wrapText="1"/>
    </xf>
    <xf numFmtId="0" fontId="14" fillId="0" borderId="2" xfId="0" applyFont="1" applyFill="1" applyBorder="1" applyAlignment="1" applyProtection="1">
      <alignment horizontal="right" vertical="center"/>
    </xf>
    <xf numFmtId="0" fontId="14" fillId="0" borderId="3" xfId="0" applyFont="1" applyFill="1" applyBorder="1" applyAlignment="1" applyProtection="1">
      <alignment horizontal="left" vertical="center" wrapText="1"/>
    </xf>
    <xf numFmtId="0" fontId="0" fillId="0" borderId="55" xfId="0" applyFill="1" applyBorder="1" applyAlignment="1" applyProtection="1">
      <alignment horizontal="right"/>
    </xf>
    <xf numFmtId="0" fontId="11" fillId="0" borderId="46" xfId="0" applyFont="1" applyFill="1" applyBorder="1" applyAlignment="1" applyProtection="1">
      <alignment horizontal="left" vertical="center" wrapText="1"/>
    </xf>
    <xf numFmtId="0" fontId="14" fillId="0" borderId="46" xfId="0" applyFont="1" applyFill="1" applyBorder="1" applyAlignment="1" applyProtection="1">
      <alignment horizontal="left" vertical="center" wrapText="1"/>
    </xf>
    <xf numFmtId="0" fontId="13" fillId="0" borderId="46" xfId="0" applyFont="1" applyFill="1" applyBorder="1" applyAlignment="1" applyProtection="1">
      <alignment horizontal="right" vertical="center" wrapText="1"/>
    </xf>
    <xf numFmtId="0" fontId="13" fillId="0" borderId="34" xfId="0" applyFont="1" applyFill="1" applyBorder="1" applyAlignment="1" applyProtection="1">
      <alignment horizontal="right" vertical="center" wrapText="1"/>
    </xf>
    <xf numFmtId="0" fontId="13" fillId="0" borderId="23" xfId="0" applyFont="1" applyFill="1" applyBorder="1" applyAlignment="1" applyProtection="1">
      <alignment horizontal="right" vertical="center" wrapText="1"/>
    </xf>
    <xf numFmtId="0" fontId="14" fillId="0" borderId="62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3" fillId="0" borderId="44" xfId="0" applyFont="1" applyBorder="1" applyAlignment="1" applyProtection="1">
      <alignment horizontal="center" vertical="center"/>
    </xf>
    <xf numFmtId="0" fontId="14" fillId="0" borderId="43" xfId="0" applyFont="1" applyBorder="1" applyAlignment="1" applyProtection="1">
      <alignment horizontal="left" wrapText="1"/>
    </xf>
    <xf numFmtId="0" fontId="13" fillId="0" borderId="37" xfId="0" applyFont="1" applyBorder="1" applyAlignment="1" applyProtection="1">
      <alignment horizontal="left" vertical="center" wrapText="1"/>
    </xf>
    <xf numFmtId="0" fontId="13" fillId="0" borderId="28" xfId="0" applyFont="1" applyBorder="1" applyAlignment="1" applyProtection="1">
      <alignment horizontal="center" vertical="center"/>
    </xf>
    <xf numFmtId="0" fontId="13" fillId="0" borderId="36" xfId="0" applyFont="1" applyBorder="1" applyAlignment="1" applyProtection="1">
      <alignment horizontal="right" vertical="center" wrapText="1"/>
    </xf>
    <xf numFmtId="0" fontId="13" fillId="0" borderId="37" xfId="0" applyFont="1" applyBorder="1" applyAlignment="1" applyProtection="1">
      <alignment horizontal="right" vertical="center" wrapText="1"/>
    </xf>
    <xf numFmtId="0" fontId="15" fillId="7" borderId="56" xfId="0" applyFont="1" applyFill="1" applyBorder="1" applyAlignment="1" applyProtection="1">
      <alignment horizontal="center" vertical="center"/>
    </xf>
    <xf numFmtId="0" fontId="11" fillId="0" borderId="32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1" fillId="3" borderId="63" xfId="0" applyFont="1" applyFill="1" applyBorder="1" applyAlignment="1" applyProtection="1">
      <alignment horizontal="left" vertical="center" wrapText="1"/>
    </xf>
    <xf numFmtId="0" fontId="13" fillId="0" borderId="36" xfId="0" applyFont="1" applyFill="1" applyBorder="1" applyAlignment="1" applyProtection="1">
      <alignment horizontal="left" vertical="center" wrapText="1"/>
    </xf>
    <xf numFmtId="0" fontId="20" fillId="9" borderId="33" xfId="0" applyFont="1" applyFill="1" applyBorder="1" applyAlignment="1" applyProtection="1">
      <alignment horizontal="left" vertical="center" wrapText="1"/>
    </xf>
    <xf numFmtId="0" fontId="13" fillId="0" borderId="63" xfId="0" applyFont="1" applyFill="1" applyBorder="1" applyAlignment="1" applyProtection="1">
      <alignment horizontal="left" vertical="center" wrapText="1"/>
    </xf>
    <xf numFmtId="0" fontId="14" fillId="3" borderId="32" xfId="0" applyFont="1" applyFill="1" applyBorder="1" applyAlignment="1" applyProtection="1">
      <alignment horizontal="left" vertical="center" wrapText="1"/>
    </xf>
    <xf numFmtId="0" fontId="13" fillId="0" borderId="18" xfId="0" applyFont="1" applyFill="1" applyBorder="1" applyAlignment="1" applyProtection="1">
      <alignment horizontal="right" vertical="center" wrapText="1"/>
    </xf>
    <xf numFmtId="0" fontId="13" fillId="0" borderId="66" xfId="0" applyFont="1" applyFill="1" applyBorder="1" applyAlignment="1" applyProtection="1">
      <alignment horizontal="left" vertical="center" wrapText="1"/>
    </xf>
    <xf numFmtId="0" fontId="13" fillId="0" borderId="67" xfId="0" applyFont="1" applyFill="1" applyBorder="1" applyAlignment="1" applyProtection="1">
      <alignment horizontal="right" vertical="center" wrapText="1"/>
    </xf>
    <xf numFmtId="0" fontId="11" fillId="0" borderId="63" xfId="0" applyFont="1" applyFill="1" applyBorder="1" applyAlignment="1" applyProtection="1">
      <alignment horizontal="left" vertical="center" wrapText="1"/>
    </xf>
    <xf numFmtId="0" fontId="11" fillId="0" borderId="65" xfId="0" applyFont="1" applyFill="1" applyBorder="1" applyAlignment="1" applyProtection="1">
      <alignment horizontal="left" vertical="center" wrapText="1"/>
    </xf>
    <xf numFmtId="0" fontId="13" fillId="0" borderId="25" xfId="0" applyFont="1" applyFill="1" applyBorder="1" applyAlignment="1" applyProtection="1">
      <alignment horizontal="right" vertical="center" wrapText="1"/>
    </xf>
    <xf numFmtId="0" fontId="13" fillId="0" borderId="65" xfId="0" applyFont="1" applyFill="1" applyBorder="1" applyAlignment="1" applyProtection="1">
      <alignment horizontal="left" vertical="center" wrapText="1"/>
    </xf>
    <xf numFmtId="0" fontId="11" fillId="0" borderId="33" xfId="0" applyFont="1" applyFill="1" applyBorder="1" applyAlignment="1" applyProtection="1">
      <alignment horizontal="left" vertical="center" wrapText="1"/>
    </xf>
    <xf numFmtId="0" fontId="14" fillId="0" borderId="43" xfId="0" applyFont="1" applyFill="1" applyBorder="1" applyAlignment="1" applyProtection="1">
      <alignment horizontal="left" vertical="center" wrapText="1"/>
    </xf>
    <xf numFmtId="0" fontId="13" fillId="0" borderId="30" xfId="0" applyFont="1" applyFill="1" applyBorder="1" applyAlignment="1" applyProtection="1">
      <alignment horizontal="right" vertical="center"/>
    </xf>
    <xf numFmtId="0" fontId="13" fillId="0" borderId="43" xfId="0" applyFont="1" applyFill="1" applyBorder="1" applyAlignment="1" applyProtection="1">
      <alignment horizontal="right" vertical="center" wrapText="1"/>
    </xf>
    <xf numFmtId="0" fontId="14" fillId="0" borderId="32" xfId="0" applyFont="1" applyBorder="1" applyAlignment="1" applyProtection="1">
      <alignment horizontal="left" wrapText="1"/>
    </xf>
    <xf numFmtId="0" fontId="13" fillId="0" borderId="27" xfId="0" applyFont="1" applyBorder="1" applyAlignment="1" applyProtection="1">
      <alignment horizontal="right"/>
    </xf>
    <xf numFmtId="0" fontId="13" fillId="0" borderId="63" xfId="0" applyFont="1" applyBorder="1" applyAlignment="1" applyProtection="1">
      <alignment horizontal="right" wrapText="1"/>
    </xf>
    <xf numFmtId="0" fontId="13" fillId="0" borderId="31" xfId="0" applyFont="1" applyBorder="1" applyAlignment="1" applyProtection="1">
      <alignment horizontal="right" wrapText="1"/>
    </xf>
    <xf numFmtId="0" fontId="13" fillId="0" borderId="33" xfId="0" applyFont="1" applyBorder="1" applyAlignment="1" applyProtection="1">
      <alignment horizontal="left" wrapText="1"/>
    </xf>
    <xf numFmtId="0" fontId="13" fillId="0" borderId="24" xfId="0" applyFont="1" applyBorder="1" applyAlignment="1" applyProtection="1">
      <alignment horizontal="right" wrapText="1"/>
    </xf>
    <xf numFmtId="0" fontId="13" fillId="0" borderId="58" xfId="0" applyFont="1" applyBorder="1" applyAlignment="1" applyProtection="1">
      <alignment horizontal="right" wrapText="1"/>
    </xf>
    <xf numFmtId="0" fontId="13" fillId="0" borderId="68" xfId="0" applyFont="1" applyBorder="1" applyAlignment="1" applyProtection="1">
      <alignment horizontal="right" wrapText="1"/>
    </xf>
    <xf numFmtId="0" fontId="13" fillId="0" borderId="32" xfId="0" applyFont="1" applyBorder="1" applyAlignment="1" applyProtection="1">
      <alignment horizontal="left" wrapText="1"/>
    </xf>
    <xf numFmtId="0" fontId="13" fillId="0" borderId="27" xfId="0" applyFont="1" applyBorder="1" applyAlignment="1" applyProtection="1">
      <alignment horizontal="right" wrapText="1"/>
    </xf>
    <xf numFmtId="0" fontId="13" fillId="0" borderId="34" xfId="0" applyFont="1" applyBorder="1" applyAlignment="1" applyProtection="1">
      <alignment horizontal="left" wrapText="1"/>
    </xf>
    <xf numFmtId="0" fontId="13" fillId="0" borderId="47" xfId="0" applyFont="1" applyFill="1" applyBorder="1" applyAlignment="1" applyProtection="1">
      <alignment horizontal="right" wrapText="1"/>
    </xf>
    <xf numFmtId="2" fontId="13" fillId="8" borderId="12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39" xfId="2" applyNumberFormat="1" applyFont="1" applyFill="1" applyBorder="1" applyAlignment="1" applyProtection="1">
      <alignment horizontal="center" vertical="center" wrapText="1"/>
      <protection locked="0" hidden="1"/>
    </xf>
    <xf numFmtId="2" fontId="13" fillId="8" borderId="51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12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8" borderId="12" xfId="2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1" xfId="0" applyFont="1" applyFill="1" applyBorder="1" applyAlignment="1" applyProtection="1">
      <alignment horizontal="right" vertical="center" wrapText="1"/>
      <protection locked="0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10" fillId="0" borderId="55" xfId="0" applyFont="1" applyFill="1" applyBorder="1" applyAlignment="1" applyProtection="1">
      <alignment vertical="center"/>
      <protection hidden="1"/>
    </xf>
    <xf numFmtId="0" fontId="10" fillId="0" borderId="16" xfId="0" applyFont="1" applyFill="1" applyBorder="1" applyAlignment="1" applyProtection="1">
      <alignment horizontal="left" vertical="center"/>
      <protection hidden="1"/>
    </xf>
    <xf numFmtId="0" fontId="11" fillId="2" borderId="16" xfId="0" applyFont="1" applyFill="1" applyBorder="1" applyAlignment="1" applyProtection="1">
      <alignment horizontal="center" vertical="center"/>
      <protection locked="0"/>
    </xf>
    <xf numFmtId="1" fontId="13" fillId="8" borderId="39" xfId="2" applyNumberFormat="1" applyFont="1" applyFill="1" applyBorder="1" applyAlignment="1" applyProtection="1">
      <alignment horizontal="center" vertical="center" wrapText="1"/>
      <protection locked="0"/>
    </xf>
    <xf numFmtId="0" fontId="13" fillId="11" borderId="53" xfId="0" applyFont="1" applyFill="1" applyBorder="1" applyAlignment="1">
      <alignment horizontal="left"/>
    </xf>
    <xf numFmtId="0" fontId="13" fillId="11" borderId="0" xfId="0" applyFont="1" applyFill="1" applyAlignment="1">
      <alignment horizontal="left"/>
    </xf>
    <xf numFmtId="1" fontId="17" fillId="3" borderId="49" xfId="0" applyNumberFormat="1" applyFont="1" applyFill="1" applyBorder="1" applyAlignment="1" applyProtection="1">
      <alignment horizontal="center" vertical="center" wrapText="1"/>
      <protection hidden="1"/>
    </xf>
    <xf numFmtId="1" fontId="17" fillId="3" borderId="41" xfId="0" applyNumberFormat="1" applyFont="1" applyFill="1" applyBorder="1" applyAlignment="1" applyProtection="1">
      <alignment horizontal="center" vertical="center" wrapText="1"/>
      <protection hidden="1"/>
    </xf>
    <xf numFmtId="1" fontId="14" fillId="3" borderId="49" xfId="0" applyNumberFormat="1" applyFont="1" applyFill="1" applyBorder="1" applyAlignment="1" applyProtection="1">
      <alignment horizontal="center" vertical="center" wrapText="1"/>
      <protection locked="0" hidden="1"/>
    </xf>
    <xf numFmtId="1" fontId="14" fillId="3" borderId="41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11" borderId="53" xfId="0" applyFont="1" applyFill="1" applyBorder="1" applyAlignment="1">
      <alignment horizontal="center"/>
    </xf>
    <xf numFmtId="0" fontId="13" fillId="11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11" fillId="12" borderId="0" xfId="0" applyFont="1" applyFill="1" applyAlignment="1">
      <alignment horizontal="center"/>
    </xf>
    <xf numFmtId="0" fontId="11" fillId="17" borderId="54" xfId="0" applyFont="1" applyFill="1" applyBorder="1" applyAlignment="1">
      <alignment horizontal="center"/>
    </xf>
    <xf numFmtId="0" fontId="11" fillId="17" borderId="55" xfId="0" applyFont="1" applyFill="1" applyBorder="1" applyAlignment="1">
      <alignment horizontal="center"/>
    </xf>
    <xf numFmtId="0" fontId="11" fillId="17" borderId="6" xfId="0" applyFont="1" applyFill="1" applyBorder="1" applyAlignment="1">
      <alignment horizontal="center"/>
    </xf>
    <xf numFmtId="2" fontId="4" fillId="17" borderId="54" xfId="0" applyNumberFormat="1" applyFont="1" applyFill="1" applyBorder="1" applyAlignment="1">
      <alignment horizontal="center"/>
    </xf>
    <xf numFmtId="2" fontId="4" fillId="17" borderId="55" xfId="0" applyNumberFormat="1" applyFont="1" applyFill="1" applyBorder="1" applyAlignment="1">
      <alignment horizontal="center"/>
    </xf>
    <xf numFmtId="2" fontId="4" fillId="17" borderId="6" xfId="0" applyNumberFormat="1" applyFont="1" applyFill="1" applyBorder="1" applyAlignment="1">
      <alignment horizontal="center"/>
    </xf>
    <xf numFmtId="2" fontId="4" fillId="15" borderId="54" xfId="0" applyNumberFormat="1" applyFont="1" applyFill="1" applyBorder="1" applyAlignment="1">
      <alignment horizontal="center"/>
    </xf>
    <xf numFmtId="2" fontId="4" fillId="15" borderId="55" xfId="0" applyNumberFormat="1" applyFont="1" applyFill="1" applyBorder="1" applyAlignment="1">
      <alignment horizontal="center"/>
    </xf>
    <xf numFmtId="2" fontId="4" fillId="15" borderId="6" xfId="0" applyNumberFormat="1" applyFont="1" applyFill="1" applyBorder="1" applyAlignment="1">
      <alignment horizontal="center"/>
    </xf>
    <xf numFmtId="0" fontId="0" fillId="10" borderId="5" xfId="0" applyFill="1" applyBorder="1" applyAlignment="1">
      <alignment horizontal="left" wrapText="1"/>
    </xf>
    <xf numFmtId="0" fontId="0" fillId="10" borderId="60" xfId="0" applyFill="1" applyBorder="1" applyAlignment="1">
      <alignment horizontal="left" wrapText="1"/>
    </xf>
    <xf numFmtId="0" fontId="0" fillId="10" borderId="61" xfId="0" applyFill="1" applyBorder="1" applyAlignment="1">
      <alignment horizontal="left" wrapText="1"/>
    </xf>
    <xf numFmtId="0" fontId="0" fillId="10" borderId="35" xfId="0" applyFill="1" applyBorder="1" applyAlignment="1">
      <alignment horizontal="left" wrapText="1"/>
    </xf>
    <xf numFmtId="10" fontId="8" fillId="10" borderId="49" xfId="2" applyNumberFormat="1" applyFont="1" applyFill="1" applyBorder="1" applyAlignment="1">
      <alignment horizontal="center" vertical="center"/>
    </xf>
    <xf numFmtId="10" fontId="8" fillId="10" borderId="41" xfId="2" applyNumberFormat="1" applyFont="1" applyFill="1" applyBorder="1" applyAlignment="1">
      <alignment horizontal="center" vertical="center"/>
    </xf>
    <xf numFmtId="0" fontId="11" fillId="13" borderId="54" xfId="0" applyFont="1" applyFill="1" applyBorder="1" applyAlignment="1">
      <alignment horizontal="center"/>
    </xf>
    <xf numFmtId="0" fontId="11" fillId="13" borderId="55" xfId="0" applyFont="1" applyFill="1" applyBorder="1" applyAlignment="1">
      <alignment horizontal="center"/>
    </xf>
    <xf numFmtId="0" fontId="11" fillId="13" borderId="6" xfId="0" applyFont="1" applyFill="1" applyBorder="1" applyAlignment="1">
      <alignment horizontal="center"/>
    </xf>
    <xf numFmtId="2" fontId="4" fillId="13" borderId="54" xfId="0" applyNumberFormat="1" applyFont="1" applyFill="1" applyBorder="1" applyAlignment="1">
      <alignment horizontal="center"/>
    </xf>
    <xf numFmtId="2" fontId="4" fillId="13" borderId="55" xfId="0" applyNumberFormat="1" applyFont="1" applyFill="1" applyBorder="1" applyAlignment="1">
      <alignment horizontal="center"/>
    </xf>
    <xf numFmtId="2" fontId="4" fillId="13" borderId="6" xfId="0" applyNumberFormat="1" applyFont="1" applyFill="1" applyBorder="1" applyAlignment="1">
      <alignment horizontal="center"/>
    </xf>
    <xf numFmtId="2" fontId="4" fillId="14" borderId="54" xfId="0" applyNumberFormat="1" applyFont="1" applyFill="1" applyBorder="1" applyAlignment="1">
      <alignment horizontal="center"/>
    </xf>
    <xf numFmtId="2" fontId="4" fillId="14" borderId="55" xfId="0" applyNumberFormat="1" applyFont="1" applyFill="1" applyBorder="1" applyAlignment="1">
      <alignment horizontal="center"/>
    </xf>
    <xf numFmtId="2" fontId="4" fillId="14" borderId="6" xfId="0" applyNumberFormat="1" applyFont="1" applyFill="1" applyBorder="1" applyAlignment="1">
      <alignment horizontal="center"/>
    </xf>
    <xf numFmtId="0" fontId="11" fillId="15" borderId="54" xfId="0" applyFont="1" applyFill="1" applyBorder="1" applyAlignment="1">
      <alignment horizontal="center"/>
    </xf>
    <xf numFmtId="0" fontId="11" fillId="15" borderId="55" xfId="0" applyFont="1" applyFill="1" applyBorder="1" applyAlignment="1">
      <alignment horizontal="center"/>
    </xf>
    <xf numFmtId="0" fontId="11" fillId="15" borderId="6" xfId="0" applyFont="1" applyFill="1" applyBorder="1" applyAlignment="1">
      <alignment horizontal="center"/>
    </xf>
    <xf numFmtId="0" fontId="11" fillId="3" borderId="54" xfId="0" applyFont="1" applyFill="1" applyBorder="1" applyAlignment="1">
      <alignment horizontal="center"/>
    </xf>
    <xf numFmtId="0" fontId="11" fillId="3" borderId="5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2" fontId="4" fillId="3" borderId="54" xfId="0" applyNumberFormat="1" applyFont="1" applyFill="1" applyBorder="1" applyAlignment="1">
      <alignment horizontal="center"/>
    </xf>
    <xf numFmtId="2" fontId="4" fillId="3" borderId="55" xfId="0" applyNumberFormat="1" applyFont="1" applyFill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11" fillId="16" borderId="54" xfId="0" applyFont="1" applyFill="1" applyBorder="1" applyAlignment="1">
      <alignment horizontal="center"/>
    </xf>
    <xf numFmtId="0" fontId="11" fillId="16" borderId="55" xfId="0" applyFont="1" applyFill="1" applyBorder="1" applyAlignment="1">
      <alignment horizontal="center"/>
    </xf>
    <xf numFmtId="0" fontId="11" fillId="16" borderId="6" xfId="0" applyFont="1" applyFill="1" applyBorder="1" applyAlignment="1">
      <alignment horizontal="center"/>
    </xf>
    <xf numFmtId="2" fontId="4" fillId="16" borderId="54" xfId="0" applyNumberFormat="1" applyFont="1" applyFill="1" applyBorder="1" applyAlignment="1">
      <alignment horizontal="center"/>
    </xf>
    <xf numFmtId="2" fontId="4" fillId="16" borderId="55" xfId="0" applyNumberFormat="1" applyFont="1" applyFill="1" applyBorder="1" applyAlignment="1">
      <alignment horizontal="center"/>
    </xf>
    <xf numFmtId="2" fontId="4" fillId="16" borderId="6" xfId="0" applyNumberFormat="1" applyFont="1" applyFill="1" applyBorder="1" applyAlignment="1">
      <alignment horizontal="center"/>
    </xf>
    <xf numFmtId="0" fontId="11" fillId="14" borderId="54" xfId="0" applyFont="1" applyFill="1" applyBorder="1" applyAlignment="1">
      <alignment horizontal="center"/>
    </xf>
    <xf numFmtId="0" fontId="11" fillId="14" borderId="55" xfId="0" applyFont="1" applyFill="1" applyBorder="1" applyAlignment="1">
      <alignment horizontal="center"/>
    </xf>
    <xf numFmtId="0" fontId="11" fillId="14" borderId="6" xfId="0" applyFont="1" applyFill="1" applyBorder="1" applyAlignment="1">
      <alignment horizontal="center"/>
    </xf>
    <xf numFmtId="2" fontId="13" fillId="2" borderId="39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normálne" xfId="0" builtinId="0"/>
    <cellStyle name="normálne 2" xfId="1"/>
    <cellStyle name="percentá" xfId="2" builtinId="5"/>
  </cellStyles>
  <dxfs count="4"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3" dropStyle="combo" dx="16" fmlaLink="$F$9" fmlaRange="$C$104:$C$106" val="0"/>
</file>

<file path=xl/ctrlProps/ctrlProp10.xml><?xml version="1.0" encoding="utf-8"?>
<formControlPr xmlns="http://schemas.microsoft.com/office/spreadsheetml/2009/9/main" objectType="Drop" dropLines="2" dropStyle="combo" dx="16" fmlaLink="$F$43" fmlaRange="$F$101:$F$102" sel="2" val="0"/>
</file>

<file path=xl/ctrlProps/ctrlProp11.xml><?xml version="1.0" encoding="utf-8"?>
<formControlPr xmlns="http://schemas.microsoft.com/office/spreadsheetml/2009/9/main" objectType="Drop" dropLines="5" dropStyle="combo" dx="16" fmlaLink="$F$96" fmlaRange="$C$107:$C$111" sel="5" val="0"/>
</file>

<file path=xl/ctrlProps/ctrlProp2.xml><?xml version="1.0" encoding="utf-8"?>
<formControlPr xmlns="http://schemas.microsoft.com/office/spreadsheetml/2009/9/main" objectType="Drop" dropLines="5" dropStyle="combo" dx="16" fmlaLink="$F$92" fmlaRange="$C$107:$C$111" sel="2" val="0"/>
</file>

<file path=xl/ctrlProps/ctrlProp3.xml><?xml version="1.0" encoding="utf-8"?>
<formControlPr xmlns="http://schemas.microsoft.com/office/spreadsheetml/2009/9/main" objectType="Drop" dropLines="5" dropStyle="combo" dx="16" fmlaLink="$F$93" fmlaRange="$C$107:$C$111" sel="4" val="0"/>
</file>

<file path=xl/ctrlProps/ctrlProp4.xml><?xml version="1.0" encoding="utf-8"?>
<formControlPr xmlns="http://schemas.microsoft.com/office/spreadsheetml/2009/9/main" objectType="Drop" dropLines="2" dropStyle="combo" dx="16" fmlaLink="$F$34" fmlaRange="$F$101:$F$102" val="0"/>
</file>

<file path=xl/ctrlProps/ctrlProp5.xml><?xml version="1.0" encoding="utf-8"?>
<formControlPr xmlns="http://schemas.microsoft.com/office/spreadsheetml/2009/9/main" objectType="Drop" dropLines="5" dropStyle="combo" dx="16" fmlaLink="$F$94" fmlaRange="$C$107:$C$111" sel="3" val="0"/>
</file>

<file path=xl/ctrlProps/ctrlProp6.xml><?xml version="1.0" encoding="utf-8"?>
<formControlPr xmlns="http://schemas.microsoft.com/office/spreadsheetml/2009/9/main" objectType="Drop" dropLines="2" dropStyle="combo" dx="16" fmlaLink="$F$36" fmlaRange="$F$101:$F$102" val="0"/>
</file>

<file path=xl/ctrlProps/ctrlProp7.xml><?xml version="1.0" encoding="utf-8"?>
<formControlPr xmlns="http://schemas.microsoft.com/office/spreadsheetml/2009/9/main" objectType="Drop" dropLines="2" dropStyle="combo" dx="16" fmlaLink="$F$37" fmlaRange="$F$101:$F$102" val="0"/>
</file>

<file path=xl/ctrlProps/ctrlProp8.xml><?xml version="1.0" encoding="utf-8"?>
<formControlPr xmlns="http://schemas.microsoft.com/office/spreadsheetml/2009/9/main" objectType="Drop" dropLines="2" dropStyle="combo" dx="16" fmlaLink="$F$40" fmlaRange="$F$101:$F$102" val="0"/>
</file>

<file path=xl/ctrlProps/ctrlProp9.xml><?xml version="1.0" encoding="utf-8"?>
<formControlPr xmlns="http://schemas.microsoft.com/office/spreadsheetml/2009/9/main" objectType="Drop" dropLines="2" dropStyle="combo" dx="16" fmlaLink="$F$42" fmlaRange="$F$101:$F$102" sel="2" val="0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comments" Target="../comments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árok1">
    <pageSetUpPr fitToPage="1"/>
  </sheetPr>
  <dimension ref="A1:S115"/>
  <sheetViews>
    <sheetView tabSelected="1" zoomScale="86" zoomScaleNormal="86" workbookViewId="0">
      <selection activeCell="D18" sqref="D18"/>
    </sheetView>
  </sheetViews>
  <sheetFormatPr defaultRowHeight="15"/>
  <cols>
    <col min="1" max="1" width="9.140625" customWidth="1"/>
    <col min="2" max="2" width="93" style="2" customWidth="1"/>
    <col min="3" max="3" width="23" style="2" customWidth="1"/>
    <col min="4" max="4" width="13" style="11" customWidth="1"/>
    <col min="5" max="5" width="10.5703125" style="7" hidden="1" customWidth="1"/>
    <col min="6" max="6" width="13.140625" style="8" hidden="1" customWidth="1"/>
    <col min="7" max="11" width="9.140625" hidden="1" customWidth="1"/>
    <col min="12" max="12" width="17.7109375" hidden="1" customWidth="1"/>
    <col min="13" max="19" width="9.140625" hidden="1" customWidth="1"/>
    <col min="20" max="30" width="9.140625" customWidth="1"/>
  </cols>
  <sheetData>
    <row r="1" spans="1:9" ht="33.75" customHeight="1" thickBot="1">
      <c r="A1" s="3" t="s">
        <v>0</v>
      </c>
      <c r="B1" s="267"/>
      <c r="C1" s="3" t="s">
        <v>254</v>
      </c>
      <c r="D1" s="56"/>
      <c r="E1" s="55"/>
      <c r="F1" s="55"/>
    </row>
    <row r="2" spans="1:9" ht="19.5" thickBot="1">
      <c r="A2" s="264"/>
      <c r="B2" s="266" t="s">
        <v>237</v>
      </c>
      <c r="C2" s="265"/>
      <c r="D2" s="10"/>
      <c r="E2" s="101"/>
      <c r="F2" s="102"/>
    </row>
    <row r="3" spans="1:9" ht="15.75">
      <c r="A3" s="159" t="s">
        <v>2</v>
      </c>
      <c r="B3" s="160" t="s">
        <v>48</v>
      </c>
      <c r="C3" s="161" t="s">
        <v>87</v>
      </c>
      <c r="D3" s="35">
        <v>200</v>
      </c>
      <c r="E3" s="103">
        <f>D3/(D3+D4)</f>
        <v>0.66666666666666663</v>
      </c>
      <c r="F3" s="104"/>
      <c r="G3" s="46" t="s">
        <v>88</v>
      </c>
    </row>
    <row r="4" spans="1:9" ht="15.75">
      <c r="A4" s="162" t="s">
        <v>29</v>
      </c>
      <c r="B4" s="163" t="s">
        <v>242</v>
      </c>
      <c r="C4" s="164" t="s">
        <v>87</v>
      </c>
      <c r="D4" s="36">
        <v>100</v>
      </c>
      <c r="E4" s="105">
        <f>D4/(D3+D4)</f>
        <v>0.33333333333333331</v>
      </c>
      <c r="F4" s="106"/>
      <c r="G4" s="46" t="s">
        <v>89</v>
      </c>
    </row>
    <row r="5" spans="1:9" ht="31.5">
      <c r="A5" s="162" t="s">
        <v>3</v>
      </c>
      <c r="B5" s="163" t="s">
        <v>192</v>
      </c>
      <c r="C5" s="164" t="s">
        <v>87</v>
      </c>
      <c r="D5" s="36">
        <v>30</v>
      </c>
      <c r="E5" s="105"/>
      <c r="F5" s="106"/>
      <c r="G5" s="46"/>
    </row>
    <row r="6" spans="1:9" ht="15.75">
      <c r="A6" s="165" t="s">
        <v>4</v>
      </c>
      <c r="B6" s="166" t="s">
        <v>47</v>
      </c>
      <c r="C6" s="164" t="s">
        <v>87</v>
      </c>
      <c r="D6" s="36">
        <v>5</v>
      </c>
      <c r="E6" s="107"/>
      <c r="F6" s="106"/>
    </row>
    <row r="7" spans="1:9" ht="15.75">
      <c r="A7" s="167" t="s">
        <v>7</v>
      </c>
      <c r="B7" s="163" t="s">
        <v>202</v>
      </c>
      <c r="C7" s="164" t="s">
        <v>87</v>
      </c>
      <c r="D7" s="36">
        <v>4</v>
      </c>
      <c r="E7" s="105">
        <f>D7/D6</f>
        <v>0.8</v>
      </c>
      <c r="F7" s="106"/>
      <c r="G7" s="46" t="s">
        <v>90</v>
      </c>
      <c r="H7" s="46"/>
      <c r="I7" s="46"/>
    </row>
    <row r="8" spans="1:9" ht="16.5" thickBot="1">
      <c r="A8" s="165" t="s">
        <v>8</v>
      </c>
      <c r="B8" s="168" t="s">
        <v>203</v>
      </c>
      <c r="C8" s="164" t="s">
        <v>87</v>
      </c>
      <c r="D8" s="36">
        <v>2</v>
      </c>
      <c r="E8" s="105">
        <f>D8/D6</f>
        <v>0.4</v>
      </c>
      <c r="F8" s="106"/>
      <c r="G8" s="46" t="s">
        <v>90</v>
      </c>
      <c r="H8" s="46"/>
      <c r="I8" s="46"/>
    </row>
    <row r="9" spans="1:9" ht="28.5" customHeight="1" thickBot="1">
      <c r="A9" s="159"/>
      <c r="B9" s="169" t="s">
        <v>62</v>
      </c>
      <c r="C9" s="170"/>
      <c r="D9" s="271">
        <f>(E12*C12+C19*D19+C44*D44+C86*D86+C90*D90+C97*D97)</f>
        <v>130.44999999999999</v>
      </c>
      <c r="E9" s="273"/>
      <c r="F9" s="14">
        <v>1</v>
      </c>
      <c r="G9" s="46"/>
      <c r="H9" s="46"/>
      <c r="I9" s="46"/>
    </row>
    <row r="10" spans="1:9" ht="28.5" customHeight="1" thickBot="1">
      <c r="A10" s="58"/>
      <c r="B10" s="17" t="s">
        <v>240</v>
      </c>
      <c r="C10" s="263" t="s">
        <v>241</v>
      </c>
      <c r="D10" s="272"/>
      <c r="E10" s="274"/>
      <c r="F10" s="14"/>
      <c r="G10" s="46"/>
      <c r="H10" s="46"/>
      <c r="I10" s="46"/>
    </row>
    <row r="11" spans="1:9" ht="21" thickBot="1">
      <c r="A11" s="171" t="s">
        <v>9</v>
      </c>
      <c r="B11" s="172" t="s">
        <v>83</v>
      </c>
      <c r="C11" s="173" t="s">
        <v>87</v>
      </c>
      <c r="D11" s="68">
        <v>50</v>
      </c>
      <c r="E11" s="108"/>
      <c r="F11" s="14"/>
      <c r="G11" s="46"/>
      <c r="H11" s="46"/>
      <c r="I11" s="46"/>
    </row>
    <row r="12" spans="1:9" s="1" customFormat="1" ht="17.25" thickBot="1">
      <c r="A12" s="174" t="s">
        <v>1</v>
      </c>
      <c r="B12" s="175" t="s">
        <v>49</v>
      </c>
      <c r="C12" s="176">
        <v>1</v>
      </c>
      <c r="D12" s="45">
        <f>E12</f>
        <v>5</v>
      </c>
      <c r="E12" s="109">
        <f>SUM(E13,E16)</f>
        <v>5</v>
      </c>
      <c r="F12" s="87"/>
      <c r="G12" s="46"/>
      <c r="H12" s="46"/>
      <c r="I12" s="46"/>
    </row>
    <row r="13" spans="1:9" s="1" customFormat="1" ht="15.75">
      <c r="A13" s="177"/>
      <c r="B13" s="178" t="s">
        <v>188</v>
      </c>
      <c r="C13" s="179"/>
      <c r="D13" s="69">
        <f>IF(D15&lt;&gt;0,D14/E15,"")</f>
        <v>0.14285714285714285</v>
      </c>
      <c r="E13" s="110">
        <f>IF(D13="",0,kriteria_SOS!A27)</f>
        <v>0</v>
      </c>
      <c r="F13" s="91"/>
      <c r="G13" s="46" t="s">
        <v>100</v>
      </c>
      <c r="H13" s="46"/>
      <c r="I13" s="46"/>
    </row>
    <row r="14" spans="1:9" s="1" customFormat="1" ht="15.75">
      <c r="A14" s="180" t="s">
        <v>11</v>
      </c>
      <c r="B14" s="181" t="s">
        <v>142</v>
      </c>
      <c r="C14" s="182" t="s">
        <v>87</v>
      </c>
      <c r="D14" s="59">
        <v>15</v>
      </c>
      <c r="E14" s="111"/>
      <c r="F14" s="92"/>
      <c r="G14" s="46"/>
      <c r="H14" s="46"/>
      <c r="I14" s="46"/>
    </row>
    <row r="15" spans="1:9" s="1" customFormat="1" ht="15.75">
      <c r="A15" s="180" t="s">
        <v>12</v>
      </c>
      <c r="B15" s="181" t="s">
        <v>200</v>
      </c>
      <c r="C15" s="182" t="s">
        <v>87</v>
      </c>
      <c r="D15" s="321">
        <v>3.5</v>
      </c>
      <c r="E15" s="112">
        <f>D15*30</f>
        <v>105</v>
      </c>
      <c r="F15" s="92"/>
      <c r="G15" s="46"/>
      <c r="H15" s="46"/>
      <c r="I15" s="46"/>
    </row>
    <row r="16" spans="1:9" ht="15.75">
      <c r="A16" s="180"/>
      <c r="B16" s="183" t="s">
        <v>51</v>
      </c>
      <c r="C16" s="184"/>
      <c r="D16" s="70">
        <f>IF(D17=0,"",(D17/D17-D18/D17))</f>
        <v>1</v>
      </c>
      <c r="E16" s="113">
        <f>IF(D17=0,"",(5*(D17-D18)+(-5)*D18)/D17)</f>
        <v>5</v>
      </c>
      <c r="F16" s="92"/>
      <c r="G16" s="46"/>
      <c r="H16" s="46"/>
      <c r="I16" s="46"/>
    </row>
    <row r="17" spans="1:9" ht="18.75" customHeight="1">
      <c r="A17" s="180" t="s">
        <v>13</v>
      </c>
      <c r="B17" s="185" t="s">
        <v>193</v>
      </c>
      <c r="C17" s="186" t="s">
        <v>87</v>
      </c>
      <c r="D17" s="37">
        <v>40</v>
      </c>
      <c r="E17" s="114"/>
      <c r="F17" s="93"/>
      <c r="G17" s="46" t="s">
        <v>91</v>
      </c>
      <c r="H17" s="46"/>
      <c r="I17" s="46"/>
    </row>
    <row r="18" spans="1:9" ht="18" customHeight="1" thickBot="1">
      <c r="A18" s="187" t="s">
        <v>14</v>
      </c>
      <c r="B18" s="188" t="s">
        <v>50</v>
      </c>
      <c r="C18" s="189" t="s">
        <v>87</v>
      </c>
      <c r="D18" s="60">
        <v>0</v>
      </c>
      <c r="E18" s="115">
        <f>IF(D17=0,"",D18/D17)</f>
        <v>0</v>
      </c>
      <c r="F18" s="116">
        <f>D18/D17</f>
        <v>0</v>
      </c>
      <c r="G18" s="46" t="s">
        <v>41</v>
      </c>
      <c r="H18" s="46"/>
      <c r="I18" s="46"/>
    </row>
    <row r="19" spans="1:9" ht="17.25" thickBot="1">
      <c r="A19" s="190" t="s">
        <v>6</v>
      </c>
      <c r="B19" s="191" t="s">
        <v>52</v>
      </c>
      <c r="C19" s="176">
        <v>5</v>
      </c>
      <c r="D19" s="15">
        <f>E19</f>
        <v>6.29</v>
      </c>
      <c r="E19" s="117">
        <f>SUM(E20,E32,E38)</f>
        <v>6.29</v>
      </c>
      <c r="F19" s="118"/>
      <c r="G19" s="46"/>
      <c r="H19" s="46"/>
      <c r="I19" s="46"/>
    </row>
    <row r="20" spans="1:9" ht="21" customHeight="1">
      <c r="A20" s="192" t="s">
        <v>30</v>
      </c>
      <c r="B20" s="193" t="s">
        <v>53</v>
      </c>
      <c r="C20" s="194"/>
      <c r="D20" s="38">
        <f>IF(D22=" ",D25,(0.33*D22+0.67*D25))</f>
        <v>0.87437500000000012</v>
      </c>
      <c r="E20" s="119">
        <f>IF(D22=" ",E25,(0.33*E22+0.67*E25))</f>
        <v>2.99</v>
      </c>
      <c r="F20" s="120"/>
      <c r="G20" s="46"/>
      <c r="H20" s="46"/>
      <c r="I20" s="46"/>
    </row>
    <row r="21" spans="1:9" ht="21" customHeight="1">
      <c r="A21" s="195"/>
      <c r="B21" s="196" t="s">
        <v>194</v>
      </c>
      <c r="C21" s="197"/>
      <c r="D21" s="71"/>
      <c r="E21" s="121"/>
      <c r="F21" s="122"/>
      <c r="G21" s="47" t="s">
        <v>42</v>
      </c>
      <c r="H21" s="46" t="s">
        <v>92</v>
      </c>
      <c r="I21" s="46"/>
    </row>
    <row r="22" spans="1:9" ht="24" customHeight="1">
      <c r="A22" s="180"/>
      <c r="B22" s="198" t="s">
        <v>243</v>
      </c>
      <c r="C22" s="199"/>
      <c r="D22" s="72">
        <f>IF(D23=0," ",D24/D23)</f>
        <v>1</v>
      </c>
      <c r="E22" s="123">
        <f>IF(D23=0," ",kriteria_SOS!A9)</f>
        <v>5</v>
      </c>
      <c r="F22" s="124"/>
      <c r="G22" s="47"/>
      <c r="H22" s="46"/>
      <c r="I22" s="46"/>
    </row>
    <row r="23" spans="1:9" ht="35.25" customHeight="1">
      <c r="A23" s="200" t="s">
        <v>16</v>
      </c>
      <c r="B23" s="201" t="s">
        <v>244</v>
      </c>
      <c r="C23" s="184" t="s">
        <v>87</v>
      </c>
      <c r="D23" s="62">
        <v>16</v>
      </c>
      <c r="E23" s="125"/>
      <c r="F23" s="84"/>
      <c r="G23" s="47"/>
      <c r="H23" s="46"/>
      <c r="I23" s="46"/>
    </row>
    <row r="24" spans="1:9" ht="52.5" customHeight="1">
      <c r="A24" s="195" t="s">
        <v>17</v>
      </c>
      <c r="B24" s="202" t="s">
        <v>245</v>
      </c>
      <c r="C24" s="203" t="s">
        <v>87</v>
      </c>
      <c r="D24" s="61">
        <v>16</v>
      </c>
      <c r="E24" s="121"/>
      <c r="F24" s="122"/>
      <c r="G24" s="47"/>
      <c r="H24" s="46"/>
      <c r="I24" s="46"/>
    </row>
    <row r="25" spans="1:9" ht="21.75" customHeight="1">
      <c r="A25" s="180"/>
      <c r="B25" s="198" t="s">
        <v>246</v>
      </c>
      <c r="C25" s="204"/>
      <c r="D25" s="72">
        <f>AVERAGE(D29,D26)</f>
        <v>0.8125</v>
      </c>
      <c r="E25" s="123">
        <f>kriteria_SOS!A18</f>
        <v>2</v>
      </c>
      <c r="F25" s="124"/>
      <c r="G25" s="47" t="s">
        <v>42</v>
      </c>
      <c r="H25" s="46" t="s">
        <v>92</v>
      </c>
      <c r="I25" s="46"/>
    </row>
    <row r="26" spans="1:9" ht="15.75">
      <c r="A26" s="200"/>
      <c r="B26" s="205" t="s">
        <v>186</v>
      </c>
      <c r="C26" s="206"/>
      <c r="D26" s="73">
        <f>D28/D27</f>
        <v>0.75</v>
      </c>
      <c r="E26" s="125">
        <f>kriteria_SOS!A18</f>
        <v>2</v>
      </c>
      <c r="F26" s="84"/>
      <c r="G26" s="47"/>
      <c r="H26" s="46"/>
      <c r="I26" s="46"/>
    </row>
    <row r="27" spans="1:9" ht="46.5" customHeight="1">
      <c r="A27" s="200" t="s">
        <v>18</v>
      </c>
      <c r="B27" s="207" t="s">
        <v>247</v>
      </c>
      <c r="C27" s="206" t="s">
        <v>87</v>
      </c>
      <c r="D27" s="62">
        <v>20</v>
      </c>
      <c r="E27" s="125"/>
      <c r="F27" s="84"/>
      <c r="G27" s="47"/>
      <c r="H27" s="46"/>
      <c r="I27" s="46"/>
    </row>
    <row r="28" spans="1:9" ht="65.25" customHeight="1">
      <c r="A28" s="200" t="s">
        <v>114</v>
      </c>
      <c r="B28" s="207" t="s">
        <v>248</v>
      </c>
      <c r="C28" s="206" t="s">
        <v>87</v>
      </c>
      <c r="D28" s="62">
        <v>15</v>
      </c>
      <c r="E28" s="125"/>
      <c r="F28" s="84"/>
      <c r="G28" s="47"/>
      <c r="H28" s="46"/>
      <c r="I28" s="46"/>
    </row>
    <row r="29" spans="1:9" ht="15.75">
      <c r="A29" s="200"/>
      <c r="B29" s="208" t="s">
        <v>187</v>
      </c>
      <c r="C29" s="206"/>
      <c r="D29" s="73">
        <f>D31/D30</f>
        <v>0.875</v>
      </c>
      <c r="E29" s="125">
        <f>kriteria_SOS!A18</f>
        <v>2</v>
      </c>
      <c r="F29" s="84"/>
      <c r="G29" s="47"/>
      <c r="H29" s="46"/>
      <c r="I29" s="46"/>
    </row>
    <row r="30" spans="1:9" ht="48" customHeight="1">
      <c r="A30" s="200" t="s">
        <v>20</v>
      </c>
      <c r="B30" s="207" t="s">
        <v>249</v>
      </c>
      <c r="C30" s="206" t="s">
        <v>87</v>
      </c>
      <c r="D30" s="62">
        <v>16</v>
      </c>
      <c r="E30" s="125"/>
      <c r="F30" s="84"/>
      <c r="G30" s="47"/>
      <c r="H30" s="46"/>
      <c r="I30" s="46"/>
    </row>
    <row r="31" spans="1:9" ht="65.25" customHeight="1" thickBot="1">
      <c r="A31" s="209" t="s">
        <v>143</v>
      </c>
      <c r="B31" s="207" t="s">
        <v>250</v>
      </c>
      <c r="C31" s="210" t="s">
        <v>87</v>
      </c>
      <c r="D31" s="61">
        <v>14</v>
      </c>
      <c r="E31" s="121"/>
      <c r="F31" s="122"/>
      <c r="G31" s="47"/>
      <c r="H31" s="46"/>
      <c r="I31" s="46"/>
    </row>
    <row r="32" spans="1:9" ht="36" customHeight="1" thickBot="1">
      <c r="A32" s="211" t="s">
        <v>31</v>
      </c>
      <c r="B32" s="212" t="s">
        <v>54</v>
      </c>
      <c r="C32" s="213"/>
      <c r="D32" s="6">
        <f>E32</f>
        <v>5</v>
      </c>
      <c r="E32" s="126">
        <f>SUM(E33)</f>
        <v>5</v>
      </c>
      <c r="F32" s="87"/>
      <c r="G32" s="46"/>
      <c r="H32" s="46"/>
      <c r="I32" s="46"/>
    </row>
    <row r="33" spans="1:9" ht="49.5" customHeight="1">
      <c r="A33" s="177"/>
      <c r="B33" s="214" t="s">
        <v>59</v>
      </c>
      <c r="C33" s="182"/>
      <c r="D33" s="74">
        <f>E33</f>
        <v>5</v>
      </c>
      <c r="E33" s="127">
        <f>(0.33*E34+0.67*D35)</f>
        <v>5</v>
      </c>
      <c r="F33" s="83"/>
      <c r="G33" s="46"/>
      <c r="H33" s="46"/>
      <c r="I33" s="46"/>
    </row>
    <row r="34" spans="1:9" ht="24" customHeight="1">
      <c r="A34" s="180" t="s">
        <v>144</v>
      </c>
      <c r="B34" s="215" t="s">
        <v>243</v>
      </c>
      <c r="C34" s="182" t="s">
        <v>196</v>
      </c>
      <c r="D34" s="22"/>
      <c r="E34" s="128">
        <f>IF(F34=1,5,-5)</f>
        <v>5</v>
      </c>
      <c r="F34" s="83">
        <v>1</v>
      </c>
      <c r="G34" s="46"/>
      <c r="H34" s="46"/>
      <c r="I34" s="46"/>
    </row>
    <row r="35" spans="1:9" ht="39" customHeight="1">
      <c r="A35" s="180"/>
      <c r="B35" s="215" t="s">
        <v>246</v>
      </c>
      <c r="C35" s="182"/>
      <c r="D35" s="74">
        <f>E35</f>
        <v>5</v>
      </c>
      <c r="E35" s="129">
        <f>(0.33*E36+0.67*E37)</f>
        <v>5</v>
      </c>
      <c r="F35" s="84"/>
      <c r="G35" s="46"/>
      <c r="H35" s="46"/>
      <c r="I35" s="46"/>
    </row>
    <row r="36" spans="1:9" ht="24" customHeight="1">
      <c r="A36" s="180" t="s">
        <v>145</v>
      </c>
      <c r="B36" s="216" t="s">
        <v>184</v>
      </c>
      <c r="C36" s="182" t="s">
        <v>196</v>
      </c>
      <c r="D36" s="22"/>
      <c r="E36" s="128">
        <f>IF(F36=1,5,-5)</f>
        <v>5</v>
      </c>
      <c r="F36" s="85">
        <v>1</v>
      </c>
      <c r="G36" s="47" t="s">
        <v>42</v>
      </c>
      <c r="H36" s="46" t="s">
        <v>93</v>
      </c>
      <c r="I36" s="46"/>
    </row>
    <row r="37" spans="1:9" ht="24.75" customHeight="1" thickBot="1">
      <c r="A37" s="187" t="s">
        <v>146</v>
      </c>
      <c r="B37" s="217" t="s">
        <v>185</v>
      </c>
      <c r="C37" s="218" t="s">
        <v>196</v>
      </c>
      <c r="D37" s="24"/>
      <c r="E37" s="130">
        <f>IF(F37=1,5,-5)</f>
        <v>5</v>
      </c>
      <c r="F37" s="86">
        <v>1</v>
      </c>
      <c r="G37" s="47" t="s">
        <v>42</v>
      </c>
      <c r="H37" s="46" t="s">
        <v>93</v>
      </c>
      <c r="I37" s="46"/>
    </row>
    <row r="38" spans="1:9" ht="24.75" customHeight="1" thickBot="1">
      <c r="A38" s="211" t="s">
        <v>183</v>
      </c>
      <c r="B38" s="219" t="s">
        <v>55</v>
      </c>
      <c r="C38" s="220"/>
      <c r="D38" s="6">
        <f>(0.33*E40+0.67*D41)</f>
        <v>-1.7</v>
      </c>
      <c r="E38" s="126">
        <f>D38</f>
        <v>-1.7</v>
      </c>
      <c r="F38" s="87"/>
      <c r="G38" s="46"/>
      <c r="H38" s="46"/>
      <c r="I38" s="46"/>
    </row>
    <row r="39" spans="1:9" ht="15.75">
      <c r="A39" s="221"/>
      <c r="B39" s="222" t="s">
        <v>61</v>
      </c>
      <c r="C39" s="223"/>
      <c r="D39" s="75"/>
      <c r="E39" s="131"/>
      <c r="F39" s="88"/>
      <c r="G39" s="46"/>
      <c r="H39" s="46"/>
      <c r="I39" s="46"/>
    </row>
    <row r="40" spans="1:9" ht="20.25" customHeight="1">
      <c r="A40" s="224" t="s">
        <v>147</v>
      </c>
      <c r="B40" s="215" t="s">
        <v>243</v>
      </c>
      <c r="C40" s="225" t="s">
        <v>196</v>
      </c>
      <c r="D40" s="9"/>
      <c r="E40" s="128">
        <f>IF(F40=1,5,-5)</f>
        <v>5</v>
      </c>
      <c r="F40" s="89">
        <v>1</v>
      </c>
      <c r="G40" s="47" t="s">
        <v>42</v>
      </c>
      <c r="H40" s="46" t="s">
        <v>93</v>
      </c>
      <c r="I40" s="46"/>
    </row>
    <row r="41" spans="1:9" ht="21" customHeight="1">
      <c r="A41" s="224"/>
      <c r="B41" s="215" t="s">
        <v>246</v>
      </c>
      <c r="C41" s="225"/>
      <c r="D41" s="25">
        <f>E41</f>
        <v>-5</v>
      </c>
      <c r="E41" s="129">
        <f>(0.33*E42+0.67*E43)</f>
        <v>-5</v>
      </c>
      <c r="F41" s="89">
        <v>2</v>
      </c>
      <c r="G41" s="46"/>
      <c r="H41" s="46"/>
      <c r="I41" s="46"/>
    </row>
    <row r="42" spans="1:9" ht="15.75">
      <c r="A42" s="224" t="s">
        <v>148</v>
      </c>
      <c r="B42" s="216" t="s">
        <v>184</v>
      </c>
      <c r="C42" s="226" t="s">
        <v>196</v>
      </c>
      <c r="D42" s="21"/>
      <c r="E42" s="128">
        <f>IF(F42=1,5,-5)</f>
        <v>-5</v>
      </c>
      <c r="F42" s="83">
        <v>2</v>
      </c>
      <c r="G42" s="47" t="s">
        <v>42</v>
      </c>
      <c r="H42" s="46" t="s">
        <v>93</v>
      </c>
      <c r="I42" s="46"/>
    </row>
    <row r="43" spans="1:9" ht="21.75" customHeight="1" thickBot="1">
      <c r="A43" s="224" t="s">
        <v>149</v>
      </c>
      <c r="B43" s="216" t="s">
        <v>185</v>
      </c>
      <c r="C43" s="225" t="s">
        <v>196</v>
      </c>
      <c r="D43" s="9"/>
      <c r="E43" s="128">
        <f>IF(F43=1,5,-5)</f>
        <v>-5</v>
      </c>
      <c r="F43" s="89">
        <v>2</v>
      </c>
      <c r="G43" s="47" t="s">
        <v>42</v>
      </c>
      <c r="H43" s="46" t="s">
        <v>93</v>
      </c>
      <c r="I43" s="46"/>
    </row>
    <row r="44" spans="1:9" ht="17.25" thickBot="1">
      <c r="A44" s="227" t="s">
        <v>10</v>
      </c>
      <c r="B44" s="175" t="s">
        <v>189</v>
      </c>
      <c r="C44" s="176">
        <v>5</v>
      </c>
      <c r="D44" s="76">
        <f>E44</f>
        <v>17</v>
      </c>
      <c r="E44" s="132">
        <f>IF(F9=1,SUM(E45,E73,E77,F80),D81)</f>
        <v>17</v>
      </c>
      <c r="F44" s="90"/>
      <c r="G44" s="46"/>
      <c r="H44" s="46"/>
      <c r="I44" s="46"/>
    </row>
    <row r="45" spans="1:9" s="1" customFormat="1" ht="15.75">
      <c r="A45" s="177"/>
      <c r="B45" s="228" t="s">
        <v>86</v>
      </c>
      <c r="C45" s="229"/>
      <c r="D45" s="157"/>
      <c r="E45" s="133">
        <f>IF(F9=2,"",SUM(E46,E53,E63))</f>
        <v>7</v>
      </c>
      <c r="F45" s="91"/>
      <c r="G45" s="46"/>
      <c r="H45" s="46"/>
      <c r="I45" s="46"/>
    </row>
    <row r="46" spans="1:9" s="1" customFormat="1" ht="15.75">
      <c r="A46" s="180"/>
      <c r="B46" s="230" t="s">
        <v>103</v>
      </c>
      <c r="C46" s="231"/>
      <c r="D46" s="259">
        <f>IF(F9=2,"",(D47*D48+D49*D50+D49*D51)/(D47+2*D49))</f>
        <v>26</v>
      </c>
      <c r="E46" s="134">
        <f>IF(F9=2,"",kriteria_SOS!F10)</f>
        <v>1</v>
      </c>
      <c r="F46" s="92"/>
      <c r="G46" s="46"/>
      <c r="H46" s="46"/>
      <c r="I46" s="46"/>
    </row>
    <row r="47" spans="1:9" s="1" customFormat="1" ht="31.5">
      <c r="A47" s="180" t="s">
        <v>150</v>
      </c>
      <c r="B47" s="232" t="s">
        <v>207</v>
      </c>
      <c r="C47" s="203" t="s">
        <v>87</v>
      </c>
      <c r="D47" s="268">
        <v>60</v>
      </c>
      <c r="E47" s="134"/>
      <c r="F47" s="92"/>
      <c r="G47" s="46" t="s">
        <v>43</v>
      </c>
      <c r="H47" s="46"/>
      <c r="I47" s="46"/>
    </row>
    <row r="48" spans="1:9" s="1" customFormat="1" ht="15.75">
      <c r="A48" s="180" t="s">
        <v>151</v>
      </c>
      <c r="B48" s="233" t="s">
        <v>206</v>
      </c>
      <c r="C48" s="204" t="str">
        <f>IF($F$9=2,"","vyplniť")</f>
        <v>vyplniť</v>
      </c>
      <c r="D48" s="258">
        <v>50</v>
      </c>
      <c r="E48" s="135"/>
      <c r="F48" s="93"/>
      <c r="G48" s="46" t="s">
        <v>43</v>
      </c>
      <c r="H48" s="46"/>
      <c r="I48" s="46"/>
    </row>
    <row r="49" spans="1:10" s="1" customFormat="1" ht="15.75">
      <c r="A49" s="180" t="s">
        <v>152</v>
      </c>
      <c r="B49" s="232" t="s">
        <v>190</v>
      </c>
      <c r="C49" s="204" t="s">
        <v>87</v>
      </c>
      <c r="D49" s="44">
        <v>45</v>
      </c>
      <c r="E49" s="135"/>
      <c r="F49" s="93"/>
      <c r="G49" s="46" t="s">
        <v>43</v>
      </c>
      <c r="H49" s="46"/>
      <c r="I49" s="46"/>
    </row>
    <row r="50" spans="1:10" s="1" customFormat="1" ht="15.75">
      <c r="A50" s="180" t="s">
        <v>153</v>
      </c>
      <c r="B50" s="233" t="s">
        <v>112</v>
      </c>
      <c r="C50" s="204" t="s">
        <v>87</v>
      </c>
      <c r="D50" s="258">
        <v>10</v>
      </c>
      <c r="E50" s="135"/>
      <c r="F50" s="93"/>
      <c r="G50" s="46" t="s">
        <v>43</v>
      </c>
      <c r="H50" s="278" t="s">
        <v>113</v>
      </c>
      <c r="I50" s="278"/>
      <c r="J50" s="278"/>
    </row>
    <row r="51" spans="1:10" s="1" customFormat="1" ht="16.5" thickBot="1">
      <c r="A51" s="180" t="s">
        <v>154</v>
      </c>
      <c r="B51" s="233" t="s">
        <v>204</v>
      </c>
      <c r="C51" s="204" t="str">
        <f>IF($F$9=2,"","vyplniť")</f>
        <v>vyplniť</v>
      </c>
      <c r="D51" s="258">
        <v>10</v>
      </c>
      <c r="E51" s="135"/>
      <c r="F51" s="93"/>
      <c r="G51" s="46" t="s">
        <v>43</v>
      </c>
      <c r="H51" s="46"/>
      <c r="I51" s="46"/>
    </row>
    <row r="52" spans="1:10" s="1" customFormat="1" ht="15.75">
      <c r="A52" s="177"/>
      <c r="B52" s="234" t="s">
        <v>218</v>
      </c>
      <c r="C52" s="235"/>
      <c r="D52" s="153">
        <f>SUM(D60,D58,D56,D54)</f>
        <v>101</v>
      </c>
      <c r="E52" s="154"/>
      <c r="F52" s="91"/>
      <c r="G52" s="46" t="s">
        <v>43</v>
      </c>
      <c r="H52" s="46"/>
      <c r="I52" s="46"/>
    </row>
    <row r="53" spans="1:10" s="1" customFormat="1" ht="15.75">
      <c r="A53" s="180"/>
      <c r="B53" s="230" t="s">
        <v>217</v>
      </c>
      <c r="C53" s="204"/>
      <c r="D53" s="261">
        <f>(D54*D55+D56*D57+D58*D59+D60*D61)/D52</f>
        <v>14</v>
      </c>
      <c r="E53" s="136">
        <f>kriteria_SOS!F20</f>
        <v>-1</v>
      </c>
      <c r="F53" s="93"/>
      <c r="G53" s="46" t="s">
        <v>43</v>
      </c>
      <c r="H53" s="46"/>
      <c r="I53" s="46"/>
    </row>
    <row r="54" spans="1:10" s="1" customFormat="1" ht="15.75">
      <c r="A54" s="180" t="s">
        <v>155</v>
      </c>
      <c r="B54" s="232" t="s">
        <v>208</v>
      </c>
      <c r="C54" s="204" t="s">
        <v>87</v>
      </c>
      <c r="D54" s="44">
        <v>50</v>
      </c>
      <c r="E54" s="136"/>
      <c r="F54" s="93"/>
      <c r="G54" s="46"/>
      <c r="H54" s="46"/>
      <c r="I54" s="46"/>
    </row>
    <row r="55" spans="1:10" s="1" customFormat="1" ht="15.75">
      <c r="A55" s="180" t="s">
        <v>156</v>
      </c>
      <c r="B55" s="233" t="s">
        <v>209</v>
      </c>
      <c r="C55" s="204" t="s">
        <v>87</v>
      </c>
      <c r="D55" s="258">
        <v>14</v>
      </c>
      <c r="E55" s="136"/>
      <c r="F55" s="93"/>
      <c r="G55" s="46"/>
      <c r="H55" s="46"/>
      <c r="I55" s="46"/>
    </row>
    <row r="56" spans="1:10" s="1" customFormat="1" ht="15.75">
      <c r="A56" s="180" t="s">
        <v>157</v>
      </c>
      <c r="B56" s="232" t="s">
        <v>214</v>
      </c>
      <c r="C56" s="204" t="s">
        <v>87</v>
      </c>
      <c r="D56" s="44">
        <v>15</v>
      </c>
      <c r="E56" s="136"/>
      <c r="F56" s="93"/>
      <c r="G56" s="46"/>
      <c r="H56" s="46"/>
      <c r="I56" s="46"/>
    </row>
    <row r="57" spans="1:10" s="1" customFormat="1" ht="15.75">
      <c r="A57" s="180" t="s">
        <v>158</v>
      </c>
      <c r="B57" s="233" t="s">
        <v>210</v>
      </c>
      <c r="C57" s="204" t="s">
        <v>87</v>
      </c>
      <c r="D57" s="258">
        <v>14</v>
      </c>
      <c r="E57" s="136"/>
      <c r="F57" s="93"/>
      <c r="G57" s="46"/>
      <c r="H57" s="46"/>
      <c r="I57" s="46"/>
    </row>
    <row r="58" spans="1:10" s="1" customFormat="1" ht="15.75">
      <c r="A58" s="180" t="s">
        <v>159</v>
      </c>
      <c r="B58" s="232" t="s">
        <v>216</v>
      </c>
      <c r="C58" s="204" t="s">
        <v>87</v>
      </c>
      <c r="D58" s="44">
        <v>30</v>
      </c>
      <c r="E58" s="136"/>
      <c r="F58" s="93"/>
      <c r="G58" s="46"/>
      <c r="H58" s="46"/>
      <c r="I58" s="46"/>
    </row>
    <row r="59" spans="1:10" s="1" customFormat="1" ht="15.75">
      <c r="A59" s="180" t="s">
        <v>160</v>
      </c>
      <c r="B59" s="233" t="s">
        <v>211</v>
      </c>
      <c r="C59" s="204" t="s">
        <v>87</v>
      </c>
      <c r="D59" s="258">
        <v>14</v>
      </c>
      <c r="E59" s="136"/>
      <c r="F59" s="93"/>
      <c r="G59" s="46"/>
      <c r="H59" s="46"/>
      <c r="I59" s="46"/>
    </row>
    <row r="60" spans="1:10" s="1" customFormat="1" ht="15.75">
      <c r="A60" s="180" t="s">
        <v>161</v>
      </c>
      <c r="B60" s="232" t="s">
        <v>215</v>
      </c>
      <c r="C60" s="204" t="s">
        <v>87</v>
      </c>
      <c r="D60" s="44">
        <v>6</v>
      </c>
      <c r="E60" s="136"/>
      <c r="F60" s="93"/>
      <c r="G60" s="46"/>
      <c r="H60" s="46"/>
      <c r="I60" s="46"/>
    </row>
    <row r="61" spans="1:10" s="1" customFormat="1" ht="16.5" thickBot="1">
      <c r="A61" s="187" t="s">
        <v>162</v>
      </c>
      <c r="B61" s="236" t="s">
        <v>238</v>
      </c>
      <c r="C61" s="237" t="s">
        <v>87</v>
      </c>
      <c r="D61" s="260">
        <v>14</v>
      </c>
      <c r="E61" s="155"/>
      <c r="F61" s="156"/>
      <c r="G61" s="46"/>
      <c r="H61" s="46"/>
      <c r="I61" s="46"/>
    </row>
    <row r="62" spans="1:10" s="1" customFormat="1" ht="15.75">
      <c r="A62" s="200"/>
      <c r="B62" s="234" t="s">
        <v>95</v>
      </c>
      <c r="C62" s="182"/>
      <c r="D62" s="153">
        <f>SUM(D70,D68,D66,D64)</f>
        <v>55</v>
      </c>
      <c r="E62" s="152"/>
      <c r="F62" s="92"/>
      <c r="G62" s="46" t="s">
        <v>43</v>
      </c>
      <c r="H62" s="46"/>
      <c r="I62" s="46"/>
    </row>
    <row r="63" spans="1:10" s="1" customFormat="1" ht="15.75">
      <c r="A63" s="180"/>
      <c r="B63" s="230" t="s">
        <v>94</v>
      </c>
      <c r="C63" s="204"/>
      <c r="D63" s="261">
        <f>(D64*D65+D66*D67+D68*D69+D70*D71)/D62</f>
        <v>68</v>
      </c>
      <c r="E63" s="135">
        <f>IF(D62=0,0,kriteria_SOS!K10+kriteria_SOS!K22)</f>
        <v>7</v>
      </c>
      <c r="F63" s="93"/>
      <c r="G63" s="46"/>
      <c r="H63" s="46"/>
      <c r="I63" s="46"/>
    </row>
    <row r="64" spans="1:10" s="1" customFormat="1" ht="15.75">
      <c r="A64" s="180" t="s">
        <v>163</v>
      </c>
      <c r="B64" s="232" t="s">
        <v>212</v>
      </c>
      <c r="C64" s="204" t="s">
        <v>87</v>
      </c>
      <c r="D64" s="44">
        <v>15</v>
      </c>
      <c r="E64" s="135"/>
      <c r="F64" s="93"/>
      <c r="G64" s="46"/>
      <c r="H64" s="46"/>
      <c r="I64" s="46"/>
    </row>
    <row r="65" spans="1:14" s="1" customFormat="1" ht="15.75">
      <c r="A65" s="180" t="s">
        <v>164</v>
      </c>
      <c r="B65" s="233" t="s">
        <v>213</v>
      </c>
      <c r="C65" s="204" t="s">
        <v>87</v>
      </c>
      <c r="D65" s="262">
        <v>74</v>
      </c>
      <c r="E65" s="135"/>
      <c r="F65" s="93"/>
      <c r="G65" s="46"/>
      <c r="H65" s="46"/>
      <c r="I65" s="46"/>
    </row>
    <row r="66" spans="1:14" s="1" customFormat="1" ht="15.75">
      <c r="A66" s="180" t="s">
        <v>165</v>
      </c>
      <c r="B66" s="232" t="s">
        <v>219</v>
      </c>
      <c r="C66" s="204" t="s">
        <v>87</v>
      </c>
      <c r="D66" s="44">
        <v>15</v>
      </c>
      <c r="E66" s="135"/>
      <c r="F66" s="93"/>
      <c r="G66" s="46"/>
      <c r="H66" s="46"/>
      <c r="I66" s="46"/>
    </row>
    <row r="67" spans="1:14" s="1" customFormat="1" ht="15.75">
      <c r="A67" s="180" t="s">
        <v>166</v>
      </c>
      <c r="B67" s="233" t="s">
        <v>220</v>
      </c>
      <c r="C67" s="204" t="s">
        <v>87</v>
      </c>
      <c r="D67" s="258">
        <v>74</v>
      </c>
      <c r="E67" s="135"/>
      <c r="F67" s="93"/>
      <c r="G67" s="46"/>
      <c r="H67" s="46"/>
      <c r="I67" s="46"/>
    </row>
    <row r="68" spans="1:14" s="1" customFormat="1" ht="15.75">
      <c r="A68" s="180" t="s">
        <v>167</v>
      </c>
      <c r="B68" s="232" t="s">
        <v>222</v>
      </c>
      <c r="C68" s="204" t="s">
        <v>87</v>
      </c>
      <c r="D68" s="44">
        <v>10</v>
      </c>
      <c r="E68" s="135"/>
      <c r="F68" s="93"/>
      <c r="G68" s="46"/>
      <c r="H68" s="46"/>
      <c r="I68" s="46"/>
    </row>
    <row r="69" spans="1:14" s="1" customFormat="1" ht="15.75">
      <c r="A69" s="180" t="s">
        <v>168</v>
      </c>
      <c r="B69" s="233" t="s">
        <v>236</v>
      </c>
      <c r="C69" s="204" t="s">
        <v>87</v>
      </c>
      <c r="D69" s="258">
        <v>74</v>
      </c>
      <c r="E69" s="135"/>
      <c r="F69" s="93"/>
      <c r="G69" s="46"/>
      <c r="H69" s="46"/>
      <c r="I69" s="46"/>
    </row>
    <row r="70" spans="1:14" s="1" customFormat="1" ht="15" customHeight="1">
      <c r="A70" s="180" t="s">
        <v>169</v>
      </c>
      <c r="B70" s="232" t="s">
        <v>221</v>
      </c>
      <c r="C70" s="204" t="s">
        <v>87</v>
      </c>
      <c r="D70" s="44">
        <v>15</v>
      </c>
      <c r="E70" s="135"/>
      <c r="F70" s="93"/>
      <c r="G70" s="46"/>
      <c r="H70" s="46"/>
      <c r="I70" s="46"/>
    </row>
    <row r="71" spans="1:14" s="1" customFormat="1" ht="15.75">
      <c r="A71" s="180" t="s">
        <v>170</v>
      </c>
      <c r="B71" s="233" t="s">
        <v>239</v>
      </c>
      <c r="C71" s="204" t="s">
        <v>87</v>
      </c>
      <c r="D71" s="258">
        <v>52</v>
      </c>
      <c r="E71" s="135"/>
      <c r="F71" s="93"/>
      <c r="G71" s="46"/>
      <c r="H71" s="46"/>
      <c r="I71" s="46"/>
    </row>
    <row r="72" spans="1:14" s="1" customFormat="1" ht="15.75">
      <c r="A72" s="180"/>
      <c r="B72" s="238" t="s">
        <v>56</v>
      </c>
      <c r="C72" s="204"/>
      <c r="D72" s="77">
        <f>E72</f>
        <v>10</v>
      </c>
      <c r="E72" s="136">
        <f>SUM(E73,E77,F80)</f>
        <v>10</v>
      </c>
      <c r="F72" s="93"/>
      <c r="G72" s="46"/>
      <c r="H72" s="46"/>
      <c r="I72" s="46"/>
    </row>
    <row r="73" spans="1:14" s="1" customFormat="1" ht="15.75">
      <c r="A73" s="180"/>
      <c r="B73" s="238" t="s">
        <v>84</v>
      </c>
      <c r="C73" s="204"/>
      <c r="D73" s="78">
        <f>IF(F9=2,"",AVERAGE(D74:D76))</f>
        <v>1</v>
      </c>
      <c r="E73" s="136">
        <f>IF(F9=2,"",kriteria_SOS!F29)</f>
        <v>5</v>
      </c>
      <c r="F73" s="93"/>
      <c r="G73" s="46"/>
      <c r="H73" s="46"/>
      <c r="I73" s="46"/>
    </row>
    <row r="74" spans="1:14" s="1" customFormat="1" ht="15.75">
      <c r="A74" s="180" t="s">
        <v>171</v>
      </c>
      <c r="B74" s="233" t="s">
        <v>201</v>
      </c>
      <c r="C74" s="204" t="str">
        <f>IF($F$9=2,"","vyplniť")</f>
        <v>vyplniť</v>
      </c>
      <c r="D74" s="39">
        <v>1</v>
      </c>
      <c r="E74" s="135"/>
      <c r="F74" s="93"/>
      <c r="G74" s="46" t="s">
        <v>43</v>
      </c>
      <c r="H74" s="46"/>
      <c r="I74" s="46"/>
    </row>
    <row r="75" spans="1:14" s="1" customFormat="1" ht="15.75">
      <c r="A75" s="180" t="s">
        <v>172</v>
      </c>
      <c r="B75" s="233" t="s">
        <v>23</v>
      </c>
      <c r="C75" s="204" t="str">
        <f>IF($F$9=2,"","vyplniť")</f>
        <v>vyplniť</v>
      </c>
      <c r="D75" s="39">
        <v>1</v>
      </c>
      <c r="E75" s="135"/>
      <c r="F75" s="93"/>
      <c r="G75" s="46" t="s">
        <v>43</v>
      </c>
      <c r="H75" s="46"/>
      <c r="I75" s="46"/>
    </row>
    <row r="76" spans="1:14" s="1" customFormat="1" ht="15.75">
      <c r="A76" s="180" t="s">
        <v>173</v>
      </c>
      <c r="B76" s="233" t="s">
        <v>24</v>
      </c>
      <c r="C76" s="204" t="str">
        <f>IF($F$9=2,"","vyplniť")</f>
        <v>vyplniť</v>
      </c>
      <c r="D76" s="40">
        <v>1</v>
      </c>
      <c r="E76" s="137"/>
      <c r="F76" s="94"/>
      <c r="G76" s="46" t="s">
        <v>43</v>
      </c>
      <c r="H76" s="46"/>
      <c r="I76" s="46"/>
    </row>
    <row r="77" spans="1:14" s="1" customFormat="1" ht="15.75">
      <c r="A77" s="180"/>
      <c r="B77" s="239" t="s">
        <v>85</v>
      </c>
      <c r="C77" s="240"/>
      <c r="D77" s="4">
        <f>IF(F9=2,"",AVERAGE(D78:D79))</f>
        <v>1</v>
      </c>
      <c r="E77" s="138">
        <f>IF(D77&gt;4.5,0,(IF(D77&gt;=4.01,1,(IF(D77&gt;=3.51,2,(IF(D77&gt;=2.51,3,(IF(D77&gt;=1.51,4,5)))))))))</f>
        <v>5</v>
      </c>
      <c r="F77" s="94"/>
      <c r="G77" s="46"/>
      <c r="H77" s="46"/>
      <c r="I77" s="46"/>
    </row>
    <row r="78" spans="1:14" s="1" customFormat="1" ht="15.75">
      <c r="A78" s="180" t="s">
        <v>174</v>
      </c>
      <c r="B78" s="241" t="s">
        <v>25</v>
      </c>
      <c r="C78" s="240" t="str">
        <f>IF($F$9=2,"","vyplniť")</f>
        <v>vyplniť</v>
      </c>
      <c r="D78" s="41">
        <v>1</v>
      </c>
      <c r="E78" s="138"/>
      <c r="F78" s="94"/>
      <c r="G78" s="47" t="s">
        <v>44</v>
      </c>
      <c r="H78" s="46" t="s">
        <v>96</v>
      </c>
      <c r="I78" s="46"/>
      <c r="J78" s="57"/>
      <c r="K78" s="57"/>
      <c r="L78" s="57"/>
      <c r="M78" s="57"/>
      <c r="N78" s="57"/>
    </row>
    <row r="79" spans="1:14" s="1" customFormat="1" ht="15.75">
      <c r="A79" s="180" t="s">
        <v>175</v>
      </c>
      <c r="B79" s="241" t="s">
        <v>26</v>
      </c>
      <c r="C79" s="240" t="str">
        <f>IF($F$9=2,"","vyplniť")</f>
        <v>vyplniť</v>
      </c>
      <c r="D79" s="42">
        <v>1</v>
      </c>
      <c r="E79" s="139"/>
      <c r="F79" s="94"/>
      <c r="G79" s="47" t="s">
        <v>42</v>
      </c>
      <c r="H79" s="46" t="s">
        <v>96</v>
      </c>
      <c r="I79" s="46"/>
    </row>
    <row r="80" spans="1:14" s="1" customFormat="1" ht="15.75">
      <c r="A80" s="180" t="s">
        <v>176</v>
      </c>
      <c r="B80" s="233" t="s">
        <v>205</v>
      </c>
      <c r="C80" s="204" t="str">
        <f>IF($F$9=2,"","vyplniť")</f>
        <v>vyplniť</v>
      </c>
      <c r="D80" s="44">
        <v>2</v>
      </c>
      <c r="E80" s="140">
        <f>D80/(D47+D49)</f>
        <v>1.9047619047619049E-2</v>
      </c>
      <c r="F80" s="93">
        <f>IF(E80&gt;0.1,-5,0)</f>
        <v>0</v>
      </c>
      <c r="G80" s="47" t="s">
        <v>42</v>
      </c>
      <c r="H80" s="46" t="s">
        <v>96</v>
      </c>
      <c r="I80" s="46"/>
    </row>
    <row r="81" spans="1:17" s="1" customFormat="1" ht="15.75">
      <c r="A81" s="180"/>
      <c r="B81" s="242" t="s">
        <v>57</v>
      </c>
      <c r="C81" s="203"/>
      <c r="D81" s="5" t="str">
        <f>IF(F9&gt;1,(5*D82+3*D83+1*D84+(-5)*D85)/SUM(D82:D85),"")</f>
        <v/>
      </c>
      <c r="E81" s="141"/>
      <c r="F81" s="95">
        <f>(D82*1.25+D83*1.75+D84*3)/(D82+D83+D84)</f>
        <v>2.15</v>
      </c>
      <c r="G81" s="46"/>
      <c r="H81" s="46"/>
      <c r="I81" s="46"/>
    </row>
    <row r="82" spans="1:17" s="1" customFormat="1" ht="17.25" customHeight="1">
      <c r="A82" s="180" t="s">
        <v>177</v>
      </c>
      <c r="B82" s="241" t="s">
        <v>180</v>
      </c>
      <c r="C82" s="240" t="s">
        <v>87</v>
      </c>
      <c r="D82" s="43">
        <v>10</v>
      </c>
      <c r="E82" s="142" t="str">
        <f>IF($F$9=1,"",D82/(SUM($D$82:$D$85)))</f>
        <v/>
      </c>
      <c r="F82" s="94"/>
      <c r="G82" s="47" t="s">
        <v>42</v>
      </c>
      <c r="H82" s="46" t="s">
        <v>97</v>
      </c>
      <c r="I82" s="46"/>
    </row>
    <row r="83" spans="1:17" s="1" customFormat="1" ht="17.25" customHeight="1">
      <c r="A83" s="180" t="s">
        <v>178</v>
      </c>
      <c r="B83" s="241" t="s">
        <v>181</v>
      </c>
      <c r="C83" s="240" t="s">
        <v>87</v>
      </c>
      <c r="D83" s="43">
        <v>20</v>
      </c>
      <c r="E83" s="142" t="str">
        <f>IF($F$9=1,"",D83/(SUM($D$82:$D$85)))</f>
        <v/>
      </c>
      <c r="F83" s="94"/>
      <c r="G83" s="47" t="s">
        <v>42</v>
      </c>
      <c r="H83" s="46" t="s">
        <v>97</v>
      </c>
      <c r="I83" s="46"/>
    </row>
    <row r="84" spans="1:17" s="1" customFormat="1" ht="15.75">
      <c r="A84" s="180" t="s">
        <v>179</v>
      </c>
      <c r="B84" s="241" t="s">
        <v>182</v>
      </c>
      <c r="C84" s="240" t="s">
        <v>87</v>
      </c>
      <c r="D84" s="43">
        <v>20</v>
      </c>
      <c r="E84" s="142" t="str">
        <f>IF($F$9=1,"",D84/(SUM($D$82:$D$85)))</f>
        <v/>
      </c>
      <c r="F84" s="94"/>
      <c r="G84" s="47" t="s">
        <v>42</v>
      </c>
      <c r="H84" s="46" t="s">
        <v>97</v>
      </c>
      <c r="I84" s="46"/>
    </row>
    <row r="85" spans="1:17" s="1" customFormat="1" ht="16.5" thickBot="1">
      <c r="A85" s="187" t="s">
        <v>224</v>
      </c>
      <c r="B85" s="233" t="s">
        <v>60</v>
      </c>
      <c r="C85" s="204" t="s">
        <v>87</v>
      </c>
      <c r="D85" s="44">
        <v>0</v>
      </c>
      <c r="E85" s="142" t="str">
        <f>IF($F$9=1,"",D85/(SUM($D$82:$D$85)))</f>
        <v/>
      </c>
      <c r="F85" s="93"/>
      <c r="G85" s="46"/>
      <c r="H85" s="46"/>
      <c r="I85" s="46"/>
    </row>
    <row r="86" spans="1:17" ht="33.75" thickBot="1">
      <c r="A86" s="190" t="s">
        <v>15</v>
      </c>
      <c r="B86" s="175" t="s">
        <v>45</v>
      </c>
      <c r="C86" s="176">
        <v>2</v>
      </c>
      <c r="D86" s="79">
        <f>E86</f>
        <v>7</v>
      </c>
      <c r="E86" s="143">
        <f>SUM(E87:E89)</f>
        <v>7</v>
      </c>
      <c r="F86" s="96"/>
      <c r="G86" s="46"/>
      <c r="H86" s="46"/>
      <c r="I86" s="46"/>
    </row>
    <row r="87" spans="1:17" ht="31.5">
      <c r="A87" s="200" t="s">
        <v>225</v>
      </c>
      <c r="B87" s="243" t="s">
        <v>141</v>
      </c>
      <c r="C87" s="244" t="s">
        <v>87</v>
      </c>
      <c r="D87" s="65">
        <v>1</v>
      </c>
      <c r="E87" s="144">
        <f>kriteria_SOS!A38</f>
        <v>1</v>
      </c>
      <c r="F87" s="97">
        <f>D87/D3</f>
        <v>5.0000000000000001E-3</v>
      </c>
      <c r="G87" s="46"/>
      <c r="H87" s="46"/>
      <c r="I87" s="46"/>
    </row>
    <row r="88" spans="1:17" ht="15.75">
      <c r="A88" s="200" t="s">
        <v>226</v>
      </c>
      <c r="B88" s="245" t="s">
        <v>138</v>
      </c>
      <c r="C88" s="244" t="s">
        <v>87</v>
      </c>
      <c r="D88" s="65">
        <v>1</v>
      </c>
      <c r="E88" s="145">
        <f>D88*1</f>
        <v>1</v>
      </c>
      <c r="F88" s="98"/>
      <c r="G88" s="46" t="s">
        <v>140</v>
      </c>
      <c r="H88" s="46"/>
      <c r="I88" s="46"/>
    </row>
    <row r="89" spans="1:17" ht="32.25" thickBot="1">
      <c r="A89" s="200" t="s">
        <v>227</v>
      </c>
      <c r="B89" s="243" t="s">
        <v>137</v>
      </c>
      <c r="C89" s="244" t="s">
        <v>87</v>
      </c>
      <c r="D89" s="65">
        <v>1</v>
      </c>
      <c r="E89" s="145">
        <f>D89*5</f>
        <v>5</v>
      </c>
      <c r="F89" s="99"/>
      <c r="G89" s="46" t="s">
        <v>139</v>
      </c>
      <c r="H89" s="46"/>
      <c r="I89" s="46"/>
    </row>
    <row r="90" spans="1:17" ht="17.25" thickBot="1">
      <c r="A90" s="227" t="s">
        <v>19</v>
      </c>
      <c r="B90" s="175" t="s">
        <v>46</v>
      </c>
      <c r="C90" s="176">
        <v>2</v>
      </c>
      <c r="D90" s="6">
        <f>IF(G91&lt;&gt;1,E90,0)</f>
        <v>-5</v>
      </c>
      <c r="E90" s="146">
        <f>IF(D91&gt;D95,E91,E96)</f>
        <v>-5</v>
      </c>
      <c r="F90" s="100">
        <v>3</v>
      </c>
      <c r="G90" s="275" t="s">
        <v>116</v>
      </c>
      <c r="H90" s="276"/>
      <c r="I90" s="276"/>
      <c r="J90" s="276"/>
      <c r="K90" s="276"/>
      <c r="M90" s="277" t="s">
        <v>117</v>
      </c>
      <c r="N90" s="277"/>
      <c r="O90" s="277"/>
      <c r="P90" s="277"/>
      <c r="Q90" s="277"/>
    </row>
    <row r="91" spans="1:17" ht="18.75" customHeight="1">
      <c r="A91" s="177" t="s">
        <v>228</v>
      </c>
      <c r="B91" s="246" t="s">
        <v>197</v>
      </c>
      <c r="C91" s="247" t="s">
        <v>198</v>
      </c>
      <c r="D91" s="64">
        <v>2009</v>
      </c>
      <c r="E91" s="147">
        <f>AVERAGE(E92:E94)</f>
        <v>0.66666666666666663</v>
      </c>
      <c r="F91" s="13"/>
      <c r="G91" t="b">
        <f>IF(AND(D91="",D95=""),1)</f>
        <v>0</v>
      </c>
      <c r="H91" s="46" t="s">
        <v>118</v>
      </c>
      <c r="I91" s="46"/>
      <c r="M91" s="277"/>
      <c r="N91" s="277"/>
      <c r="O91" s="277"/>
      <c r="P91" s="277"/>
      <c r="Q91" s="277"/>
    </row>
    <row r="92" spans="1:17" ht="18.75" customHeight="1">
      <c r="A92" s="180" t="s">
        <v>229</v>
      </c>
      <c r="B92" s="248" t="s">
        <v>33</v>
      </c>
      <c r="C92" s="249" t="s">
        <v>196</v>
      </c>
      <c r="D92" s="18"/>
      <c r="E92" s="148">
        <f>IF(F92=1,5,(IF(F92=2,3,(IF(F92=3,1,IF(F92=4,-2,-5))))))</f>
        <v>3</v>
      </c>
      <c r="F92" s="63">
        <v>2</v>
      </c>
      <c r="G92" s="47" t="s">
        <v>42</v>
      </c>
      <c r="H92" s="46" t="s">
        <v>98</v>
      </c>
      <c r="I92" s="46"/>
    </row>
    <row r="93" spans="1:17" ht="18.75" customHeight="1">
      <c r="A93" s="180" t="s">
        <v>230</v>
      </c>
      <c r="B93" s="248" t="s">
        <v>34</v>
      </c>
      <c r="C93" s="249" t="s">
        <v>196</v>
      </c>
      <c r="D93" s="18"/>
      <c r="E93" s="148">
        <f>IF(F93=1,5,(IF(F93=2,3,(IF(F93=3,1,IF(F93=4,-2,-5))))))</f>
        <v>-2</v>
      </c>
      <c r="F93" s="63">
        <v>4</v>
      </c>
      <c r="G93" s="47" t="s">
        <v>42</v>
      </c>
      <c r="H93" s="46" t="s">
        <v>98</v>
      </c>
      <c r="I93" s="46"/>
    </row>
    <row r="94" spans="1:17" ht="18.75" customHeight="1">
      <c r="A94" s="180" t="s">
        <v>231</v>
      </c>
      <c r="B94" s="248" t="s">
        <v>35</v>
      </c>
      <c r="C94" s="249" t="s">
        <v>196</v>
      </c>
      <c r="D94" s="18"/>
      <c r="E94" s="148">
        <f>IF(F94=1,5,(IF(F94=2,3,(IF(F94=3,1,IF(F94=4,-2,-5))))))</f>
        <v>1</v>
      </c>
      <c r="F94" s="63">
        <v>3</v>
      </c>
      <c r="G94" s="47" t="s">
        <v>42</v>
      </c>
      <c r="H94" s="46" t="s">
        <v>98</v>
      </c>
      <c r="I94" s="46"/>
    </row>
    <row r="95" spans="1:17" ht="31.5">
      <c r="A95" s="180" t="s">
        <v>232</v>
      </c>
      <c r="B95" s="250" t="s">
        <v>129</v>
      </c>
      <c r="C95" s="251" t="s">
        <v>198</v>
      </c>
      <c r="D95" s="67">
        <v>2010</v>
      </c>
      <c r="E95" s="148"/>
      <c r="F95" s="63"/>
      <c r="G95" s="46" t="s">
        <v>99</v>
      </c>
      <c r="H95" s="46" t="s">
        <v>115</v>
      </c>
      <c r="I95" s="46"/>
    </row>
    <row r="96" spans="1:17" ht="24" customHeight="1" thickBot="1">
      <c r="A96" s="187" t="s">
        <v>233</v>
      </c>
      <c r="B96" s="252" t="s">
        <v>191</v>
      </c>
      <c r="C96" s="253" t="s">
        <v>196</v>
      </c>
      <c r="D96" s="158"/>
      <c r="E96" s="148">
        <f>IF(F96=1,5,(IF(F96=2,3,(IF(F96=3,1,IF(F96=4,-2,-5))))))</f>
        <v>-5</v>
      </c>
      <c r="F96" s="63">
        <v>5</v>
      </c>
      <c r="G96" s="46"/>
      <c r="H96" s="46"/>
      <c r="I96" s="46"/>
    </row>
    <row r="97" spans="1:15" ht="17.25" thickBot="1">
      <c r="A97" s="227" t="s">
        <v>32</v>
      </c>
      <c r="B97" s="175" t="s">
        <v>251</v>
      </c>
      <c r="C97" s="176">
        <v>1</v>
      </c>
      <c r="D97" s="80">
        <f>D98*1+D99*0.5</f>
        <v>5</v>
      </c>
      <c r="E97" s="149"/>
      <c r="F97" s="20"/>
      <c r="G97" s="269" t="s">
        <v>119</v>
      </c>
      <c r="H97" s="270"/>
      <c r="I97" s="270"/>
      <c r="J97" s="270"/>
      <c r="K97" s="270"/>
      <c r="L97" s="270"/>
      <c r="M97" s="270"/>
      <c r="N97" s="270"/>
      <c r="O97" s="270"/>
    </row>
    <row r="98" spans="1:15" ht="31.5">
      <c r="A98" s="177" t="s">
        <v>234</v>
      </c>
      <c r="B98" s="254" t="s">
        <v>252</v>
      </c>
      <c r="C98" s="255" t="s">
        <v>199</v>
      </c>
      <c r="D98" s="35">
        <v>2</v>
      </c>
      <c r="E98" s="150"/>
      <c r="F98" s="16"/>
      <c r="G98" s="47" t="s">
        <v>42</v>
      </c>
      <c r="H98" s="46" t="s">
        <v>96</v>
      </c>
    </row>
    <row r="99" spans="1:15" ht="32.25" thickBot="1">
      <c r="A99" s="171" t="s">
        <v>235</v>
      </c>
      <c r="B99" s="256" t="s">
        <v>253</v>
      </c>
      <c r="C99" s="257" t="s">
        <v>199</v>
      </c>
      <c r="D99" s="66">
        <v>6</v>
      </c>
      <c r="E99" s="151"/>
      <c r="F99" s="19"/>
      <c r="G99" s="47" t="s">
        <v>42</v>
      </c>
      <c r="H99" s="46" t="s">
        <v>96</v>
      </c>
    </row>
    <row r="100" spans="1:15" hidden="1">
      <c r="C100" s="12"/>
      <c r="D100" s="7"/>
    </row>
    <row r="101" spans="1:15" hidden="1">
      <c r="C101" s="12"/>
      <c r="D101" s="7"/>
      <c r="F101" s="81" t="s">
        <v>21</v>
      </c>
    </row>
    <row r="102" spans="1:15" hidden="1">
      <c r="C102" s="12"/>
      <c r="D102" s="7"/>
      <c r="F102" s="81" t="s">
        <v>22</v>
      </c>
    </row>
    <row r="103" spans="1:15" hidden="1">
      <c r="A103" t="s">
        <v>223</v>
      </c>
      <c r="C103" s="12"/>
      <c r="D103" s="7"/>
    </row>
    <row r="104" spans="1:15" hidden="1">
      <c r="C104" s="82" t="s">
        <v>27</v>
      </c>
      <c r="D104" s="7"/>
    </row>
    <row r="105" spans="1:15" hidden="1">
      <c r="C105" s="82" t="s">
        <v>28</v>
      </c>
      <c r="D105" s="7"/>
    </row>
    <row r="106" spans="1:15" hidden="1">
      <c r="C106" s="82" t="s">
        <v>195</v>
      </c>
      <c r="D106" s="7"/>
    </row>
    <row r="107" spans="1:15" hidden="1">
      <c r="C107" s="82" t="s">
        <v>36</v>
      </c>
      <c r="D107" s="7"/>
    </row>
    <row r="108" spans="1:15" hidden="1">
      <c r="C108" s="82" t="s">
        <v>37</v>
      </c>
      <c r="D108" s="7"/>
    </row>
    <row r="109" spans="1:15" hidden="1">
      <c r="C109" s="82" t="s">
        <v>38</v>
      </c>
      <c r="D109" s="7"/>
    </row>
    <row r="110" spans="1:15" hidden="1">
      <c r="C110" s="82" t="s">
        <v>39</v>
      </c>
      <c r="D110" s="7"/>
    </row>
    <row r="111" spans="1:15" hidden="1">
      <c r="C111" s="82" t="s">
        <v>40</v>
      </c>
      <c r="D111" s="7"/>
    </row>
    <row r="112" spans="1:15" hidden="1">
      <c r="C112" s="12"/>
      <c r="D112" s="7"/>
    </row>
    <row r="113" spans="1:4" hidden="1">
      <c r="C113" s="12"/>
      <c r="D113" s="7"/>
    </row>
    <row r="114" spans="1:4" hidden="1">
      <c r="A114" t="s">
        <v>121</v>
      </c>
      <c r="B114" s="2" t="s">
        <v>120</v>
      </c>
      <c r="C114" s="12"/>
      <c r="D114" s="7"/>
    </row>
    <row r="115" spans="1:4" hidden="1"/>
  </sheetData>
  <sheetProtection password="E6D8" sheet="1" objects="1" scenarios="1"/>
  <mergeCells count="6">
    <mergeCell ref="G97:O97"/>
    <mergeCell ref="D9:D10"/>
    <mergeCell ref="E9:E10"/>
    <mergeCell ref="G90:K90"/>
    <mergeCell ref="M90:Q91"/>
    <mergeCell ref="H50:J50"/>
  </mergeCells>
  <conditionalFormatting sqref="E16 E39 D38">
    <cfRule type="cellIs" dxfId="3" priority="15" stopIfTrue="1" operator="lessThan">
      <formula>0</formula>
    </cfRule>
  </conditionalFormatting>
  <conditionalFormatting sqref="E20">
    <cfRule type="cellIs" dxfId="2" priority="13" stopIfTrue="1" operator="lessThan">
      <formula>2.5</formula>
    </cfRule>
    <cfRule type="cellIs" dxfId="1" priority="14" stopIfTrue="1" operator="lessThan">
      <formula>2</formula>
    </cfRule>
  </conditionalFormatting>
  <conditionalFormatting sqref="C82:C85">
    <cfRule type="containsText" dxfId="0" priority="12" operator="containsText" text="&quot;vyplniť&quot;">
      <formula>NOT(ISERROR(SEARCH("""vyplniť""",C82)))</formula>
    </cfRule>
  </conditionalFormatting>
  <conditionalFormatting sqref="C48:C72">
    <cfRule type="cellIs" priority="11" operator="equal">
      <formula>"""vyplniť"""</formula>
    </cfRule>
  </conditionalFormatting>
  <dataValidations count="6">
    <dataValidation type="whole" operator="greaterThanOrEqual" allowBlank="1" showInputMessage="1" showErrorMessage="1" error="Percento neprospievajúcich je medzi 0% až 100%" sqref="D80">
      <formula1>0</formula1>
    </dataValidation>
    <dataValidation type="decimal" allowBlank="1" showInputMessage="1" showErrorMessage="1" sqref="D78:D79">
      <formula1>1</formula1>
      <formula2>5</formula2>
    </dataValidation>
    <dataValidation type="decimal" allowBlank="1" showInputMessage="1" showErrorMessage="1" sqref="D50:D51 D63 D48 D53 D55 D57 D59 D61 D71 D74 D75 D76">
      <formula1>0</formula1>
      <formula2>100</formula2>
    </dataValidation>
    <dataValidation type="whole" operator="greaterThanOrEqual" allowBlank="1" showInputMessage="1" showErrorMessage="1" sqref="D47 D49 D54 D56 D58 D60 D64 D66 D68 D70 D82 D84 D85 D87 D88 D89 D98 D99 D14">
      <formula1>0</formula1>
    </dataValidation>
    <dataValidation type="whole" operator="greaterThanOrEqual" allowBlank="1" showInputMessage="1" showErrorMessage="1" sqref="D91 D95">
      <formula1>2000</formula1>
    </dataValidation>
    <dataValidation operator="greaterThanOrEqual" allowBlank="1" showInputMessage="1" showErrorMessage="1" sqref="D15"/>
  </dataValidations>
  <printOptions horizontalCentered="1"/>
  <pageMargins left="0" right="0" top="0.98425196850393704" bottom="0.78740157480314965" header="0.31496062992125984" footer="0.31496062992125984"/>
  <pageSetup paperSize="9" scale="73" fitToHeight="0" orientation="portrait" r:id="rId1"/>
  <headerFooter>
    <oddHeader>&amp;C&amp;"Times New Roman,Tučné"&amp;24Formulár na vyhodnotenie kritérií pre stredné odborné školy a konzervatóriá&amp;RPríloha č. 2</oddHeader>
    <oddFooter>&amp;R&amp;P /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workbookViewId="0">
      <selection activeCell="I9" sqref="I9"/>
    </sheetView>
  </sheetViews>
  <sheetFormatPr defaultRowHeight="15"/>
  <cols>
    <col min="1" max="1" width="24.28515625" bestFit="1" customWidth="1"/>
    <col min="2" max="2" width="11.7109375" customWidth="1"/>
    <col min="3" max="3" width="14.28515625" customWidth="1"/>
    <col min="6" max="6" width="18.7109375" customWidth="1"/>
    <col min="7" max="7" width="12.7109375" customWidth="1"/>
    <col min="8" max="8" width="15.42578125" customWidth="1"/>
    <col min="11" max="11" width="17.7109375" customWidth="1"/>
    <col min="12" max="12" width="14.85546875" customWidth="1"/>
    <col min="13" max="13" width="19.42578125" customWidth="1"/>
  </cols>
  <sheetData>
    <row r="1" spans="1:13" ht="15.75" thickBot="1">
      <c r="A1" s="23" t="s">
        <v>58</v>
      </c>
    </row>
    <row r="2" spans="1:13" ht="16.5" thickBot="1">
      <c r="A2" s="306" t="s">
        <v>82</v>
      </c>
      <c r="B2" s="307"/>
      <c r="C2" s="308"/>
      <c r="F2" s="294" t="s">
        <v>76</v>
      </c>
      <c r="G2" s="295"/>
      <c r="H2" s="296"/>
      <c r="K2" s="294" t="s">
        <v>102</v>
      </c>
      <c r="L2" s="295"/>
      <c r="M2" s="296"/>
    </row>
    <row r="3" spans="1:13" ht="15.75">
      <c r="A3" s="31">
        <f>IF(hodnotenie_SOS!$D$22&gt;=0.95,1,"")</f>
        <v>1</v>
      </c>
      <c r="B3" s="26">
        <v>5</v>
      </c>
      <c r="C3" s="27" t="s">
        <v>63</v>
      </c>
      <c r="F3" s="31" t="str">
        <f>IF(hodnotenie_SOS!$D$46&gt;=75,1,"")</f>
        <v/>
      </c>
      <c r="G3" s="26">
        <v>5</v>
      </c>
      <c r="H3" s="27" t="s">
        <v>104</v>
      </c>
      <c r="K3" s="31" t="str">
        <f>IF(hodnotenie_SOS!$D$63&gt;=75,1,"")</f>
        <v/>
      </c>
      <c r="L3" s="26">
        <v>5</v>
      </c>
      <c r="M3" s="27" t="s">
        <v>104</v>
      </c>
    </row>
    <row r="4" spans="1:13" ht="15.75">
      <c r="A4" s="32" t="str">
        <f>IF(AND(hodnotenie_SOS!$D$22&gt;=0.9,hodnotenie_SOS!$D$22&lt;0.95),1,"")</f>
        <v/>
      </c>
      <c r="B4" s="28">
        <v>4</v>
      </c>
      <c r="C4" s="29" t="s">
        <v>64</v>
      </c>
      <c r="F4" s="32" t="str">
        <f>IF(AND(hodnotenie_SOS!$D$46&gt;=55,hodnotenie_SOS!$D$46&lt;75),1,"")</f>
        <v/>
      </c>
      <c r="G4" s="28">
        <v>4</v>
      </c>
      <c r="H4" s="29" t="s">
        <v>122</v>
      </c>
      <c r="K4" s="32">
        <f>IF(AND(hodnotenie_SOS!$D$63&gt;=55,hodnotenie_SOS!$D$63&lt;75),1,"")</f>
        <v>1</v>
      </c>
      <c r="L4" s="28">
        <v>4</v>
      </c>
      <c r="M4" s="29" t="s">
        <v>122</v>
      </c>
    </row>
    <row r="5" spans="1:13" ht="15.75">
      <c r="A5" s="32" t="str">
        <f>IF(AND(hodnotenie_SOS!$D$22&gt;=0.85,hodnotenie_SOS!$D$22&lt;0.9),1,"")</f>
        <v/>
      </c>
      <c r="B5" s="28">
        <v>3</v>
      </c>
      <c r="C5" s="29" t="s">
        <v>65</v>
      </c>
      <c r="F5" s="32" t="str">
        <f>IF(AND(hodnotenie_SOS!$D$46&gt;=45,hodnotenie_SOS!$D$46&lt;55),1,"")</f>
        <v/>
      </c>
      <c r="G5" s="28">
        <v>3</v>
      </c>
      <c r="H5" s="29" t="s">
        <v>123</v>
      </c>
      <c r="K5" s="32" t="str">
        <f>IF(AND(hodnotenie_SOS!$D$63&gt;=45,hodnotenie_SOS!$D$63&lt;55),1,"")</f>
        <v/>
      </c>
      <c r="L5" s="28">
        <v>3</v>
      </c>
      <c r="M5" s="29" t="s">
        <v>123</v>
      </c>
    </row>
    <row r="6" spans="1:13" ht="15.75">
      <c r="A6" s="32" t="str">
        <f>IF(AND(hodnotenie_SOS!$D$22&gt;=0.775,hodnotenie_SOS!$D$22&lt;0.85),1,"")</f>
        <v/>
      </c>
      <c r="B6" s="28">
        <v>2</v>
      </c>
      <c r="C6" s="29" t="s">
        <v>66</v>
      </c>
      <c r="F6" s="32" t="str">
        <f>IF(AND(hodnotenie_SOS!$D$46&gt;=35,hodnotenie_SOS!$D$46&lt;45),1,"")</f>
        <v/>
      </c>
      <c r="G6" s="28">
        <v>2</v>
      </c>
      <c r="H6" s="29" t="s">
        <v>124</v>
      </c>
      <c r="K6" s="32" t="str">
        <f>IF(AND(hodnotenie_SOS!$D$63&gt;=35,hodnotenie_SOS!$D$63&lt;45),1,"")</f>
        <v/>
      </c>
      <c r="L6" s="28">
        <v>2</v>
      </c>
      <c r="M6" s="29" t="s">
        <v>124</v>
      </c>
    </row>
    <row r="7" spans="1:13" ht="15.75">
      <c r="A7" s="32" t="str">
        <f>IF(AND(hodnotenie_SOS!$D$22&gt;=0.7,hodnotenie_SOS!$D$22&lt;0.775),1,"")</f>
        <v/>
      </c>
      <c r="B7" s="28">
        <v>1</v>
      </c>
      <c r="C7" s="30" t="s">
        <v>67</v>
      </c>
      <c r="F7" s="32">
        <f>IF(AND(hodnotenie_SOS!$D$46&gt;=25,hodnotenie_SOS!$D$46&lt;35),1,"")</f>
        <v>1</v>
      </c>
      <c r="G7" s="28">
        <v>1</v>
      </c>
      <c r="H7" s="30" t="s">
        <v>125</v>
      </c>
      <c r="K7" s="32" t="str">
        <f>IF(AND(hodnotenie_SOS!$D$63&gt;=25,hodnotenie_SOS!$D$63&lt;35),1,"")</f>
        <v/>
      </c>
      <c r="L7" s="28">
        <v>1</v>
      </c>
      <c r="M7" s="30" t="s">
        <v>125</v>
      </c>
    </row>
    <row r="8" spans="1:13" ht="16.5" thickBot="1">
      <c r="A8" s="32" t="str">
        <f>IF(AND(hodnotenie_SOS!$D$22&gt;=0,hodnotenie_SOS!$D$22&lt;0.7),1,"")</f>
        <v/>
      </c>
      <c r="B8" s="33">
        <v>0</v>
      </c>
      <c r="C8" s="34" t="s">
        <v>5</v>
      </c>
      <c r="F8" s="32" t="str">
        <f>IF(AND(hodnotenie_SOS!$D$46&gt;=15,hodnotenie_SOS!$D$46&lt;25),1,"")</f>
        <v/>
      </c>
      <c r="G8" s="33">
        <v>0</v>
      </c>
      <c r="H8" s="30" t="s">
        <v>126</v>
      </c>
      <c r="K8" s="32" t="str">
        <f>IF(AND(hodnotenie_SOS!$D$63&gt;=15,hodnotenie_SOS!$D$63&lt;25),1,"")</f>
        <v/>
      </c>
      <c r="L8" s="33">
        <v>0</v>
      </c>
      <c r="M8" s="30" t="s">
        <v>126</v>
      </c>
    </row>
    <row r="9" spans="1:13" ht="16.5" thickBot="1">
      <c r="A9" s="309">
        <f>VLOOKUP(1,A3:B8,2)</f>
        <v>5</v>
      </c>
      <c r="B9" s="310"/>
      <c r="C9" s="311"/>
      <c r="F9" s="32" t="str">
        <f>IF(AND(hodnotenie_SOS!$D$46&gt;=0,hodnotenie_SOS!$D$46&lt;15),1,"")</f>
        <v/>
      </c>
      <c r="G9" s="33">
        <v>-1</v>
      </c>
      <c r="H9" s="34" t="s">
        <v>127</v>
      </c>
      <c r="K9" s="32" t="str">
        <f>IF(AND(hodnotenie_SOS!$D$63&gt;=0,hodnotenie_SOS!$D$63&lt;15),1,"")</f>
        <v/>
      </c>
      <c r="L9" s="33">
        <v>-1</v>
      </c>
      <c r="M9" s="34" t="s">
        <v>127</v>
      </c>
    </row>
    <row r="10" spans="1:13" ht="16.5" thickBot="1">
      <c r="F10" s="297">
        <f>VLOOKUP(1,F3:G9,2)</f>
        <v>1</v>
      </c>
      <c r="G10" s="298"/>
      <c r="H10" s="299"/>
      <c r="K10" s="297">
        <f>VLOOKUP(1,K3:L9,2)</f>
        <v>4</v>
      </c>
      <c r="L10" s="298"/>
      <c r="M10" s="299"/>
    </row>
    <row r="11" spans="1:13" ht="16.5" thickBot="1">
      <c r="A11" s="312" t="s">
        <v>81</v>
      </c>
      <c r="B11" s="313"/>
      <c r="C11" s="314"/>
    </row>
    <row r="12" spans="1:13" ht="16.5" thickBot="1">
      <c r="A12" s="31" t="str">
        <f>IF(hodnotenie_SOS!$D$25&gt;=0.95,1,"")</f>
        <v/>
      </c>
      <c r="B12" s="26">
        <v>5</v>
      </c>
      <c r="C12" s="27" t="s">
        <v>63</v>
      </c>
      <c r="F12" s="294" t="s">
        <v>101</v>
      </c>
      <c r="G12" s="295"/>
      <c r="H12" s="296"/>
      <c r="K12" s="292">
        <f>hodnotenie_SOS!D62/(hodnotenie_SOS!D62+hodnotenie_SOS!D52)</f>
        <v>0.35256410256410259</v>
      </c>
      <c r="L12" s="288" t="s">
        <v>111</v>
      </c>
      <c r="M12" s="289"/>
    </row>
    <row r="13" spans="1:13" ht="16.5" thickBot="1">
      <c r="A13" s="32" t="str">
        <f>IF(AND(hodnotenie_SOS!$D$25&gt;=0.9,hodnotenie_SOS!$D$25&lt;0.95),1,"")</f>
        <v/>
      </c>
      <c r="B13" s="28">
        <v>4</v>
      </c>
      <c r="C13" s="29" t="s">
        <v>64</v>
      </c>
      <c r="F13" s="31" t="str">
        <f>IF(hodnotenie_SOS!$D$53&gt;=75,1,"")</f>
        <v/>
      </c>
      <c r="G13" s="26">
        <v>5</v>
      </c>
      <c r="H13" s="27" t="s">
        <v>104</v>
      </c>
      <c r="K13" s="293"/>
      <c r="L13" s="290"/>
      <c r="M13" s="291"/>
    </row>
    <row r="14" spans="1:13" ht="16.5" thickBot="1">
      <c r="A14" s="32" t="str">
        <f>IF(AND(hodnotenie_SOS!$D$25&gt;=0.85,hodnotenie_SOS!$D$25&lt;0.9),1,"")</f>
        <v/>
      </c>
      <c r="B14" s="28">
        <v>3</v>
      </c>
      <c r="C14" s="29" t="s">
        <v>65</v>
      </c>
      <c r="F14" s="32" t="str">
        <f>IF(AND(hodnotenie_SOS!$D$53&gt;=55,hodnotenie_SOS!$D$53&lt;75),1,"")</f>
        <v/>
      </c>
      <c r="G14" s="28">
        <v>4</v>
      </c>
      <c r="H14" s="29" t="s">
        <v>122</v>
      </c>
      <c r="K14" s="294" t="s">
        <v>109</v>
      </c>
      <c r="L14" s="295"/>
      <c r="M14" s="296"/>
    </row>
    <row r="15" spans="1:13" ht="15.75">
      <c r="A15" s="32">
        <f>IF(AND(hodnotenie_SOS!$D$25&gt;=0.775,hodnotenie_SOS!$D$25&lt;0.85),1,"")</f>
        <v>1</v>
      </c>
      <c r="B15" s="28">
        <v>2</v>
      </c>
      <c r="C15" s="29" t="s">
        <v>66</v>
      </c>
      <c r="F15" s="32" t="str">
        <f>IF(AND(hodnotenie_SOS!$D$53&gt;=45,hodnotenie_SOS!$D$53&lt;55),1,"")</f>
        <v/>
      </c>
      <c r="G15" s="28">
        <v>3</v>
      </c>
      <c r="H15" s="29" t="s">
        <v>123</v>
      </c>
      <c r="K15" s="31" t="str">
        <f>IF($K$12&gt;=0.75,1,"")</f>
        <v/>
      </c>
      <c r="L15" s="26">
        <v>5</v>
      </c>
      <c r="M15" s="27" t="s">
        <v>104</v>
      </c>
    </row>
    <row r="16" spans="1:13" ht="15.75">
      <c r="A16" s="32" t="str">
        <f>IF(AND(hodnotenie_SOS!$D$25&gt;=0.7,hodnotenie_SOS!$D$25&lt;0.775),1,"")</f>
        <v/>
      </c>
      <c r="B16" s="28">
        <v>1</v>
      </c>
      <c r="C16" s="30" t="s">
        <v>67</v>
      </c>
      <c r="F16" s="32" t="str">
        <f>IF(AND(hodnotenie_SOS!$D$53&gt;=35,hodnotenie_SOS!$D$53&lt;45),1,"")</f>
        <v/>
      </c>
      <c r="G16" s="28">
        <v>2</v>
      </c>
      <c r="H16" s="29" t="s">
        <v>124</v>
      </c>
      <c r="K16" s="32" t="str">
        <f>IF(AND($K$12&gt;=0.5,$K$12&lt;0.75),1,"")</f>
        <v/>
      </c>
      <c r="L16" s="28">
        <v>4</v>
      </c>
      <c r="M16" s="29" t="s">
        <v>105</v>
      </c>
    </row>
    <row r="17" spans="1:13" ht="16.5" thickBot="1">
      <c r="A17" s="32" t="str">
        <f>IF(AND(hodnotenie_SOS!$D$25&gt;=0,hodnotenie_SOS!$D$25&lt;0.7),1,"")</f>
        <v/>
      </c>
      <c r="B17" s="33">
        <v>0</v>
      </c>
      <c r="C17" s="34" t="s">
        <v>5</v>
      </c>
      <c r="F17" s="32" t="str">
        <f>IF(AND(hodnotenie_SOS!$D$53&gt;=25,hodnotenie_SOS!$D$53&lt;35),1,"")</f>
        <v/>
      </c>
      <c r="G17" s="28">
        <v>1</v>
      </c>
      <c r="H17" s="30" t="s">
        <v>125</v>
      </c>
      <c r="K17" s="32">
        <f>IF(AND($K$12&gt;=0.25,$K$12&lt;0.5),1,"")</f>
        <v>1</v>
      </c>
      <c r="L17" s="28">
        <v>3</v>
      </c>
      <c r="M17" s="29" t="s">
        <v>106</v>
      </c>
    </row>
    <row r="18" spans="1:13" ht="16.5" thickBot="1">
      <c r="A18" s="315">
        <f>VLOOKUP(1,A12:B17,2)</f>
        <v>2</v>
      </c>
      <c r="B18" s="316"/>
      <c r="C18" s="317"/>
      <c r="F18" s="32" t="str">
        <f>IF(AND(hodnotenie_SOS!$D$53&gt;=15,hodnotenie_SOS!$D$53&lt;25),1,"")</f>
        <v/>
      </c>
      <c r="G18" s="33">
        <v>0</v>
      </c>
      <c r="H18" s="30" t="s">
        <v>126</v>
      </c>
      <c r="K18" s="32" t="str">
        <f>IF(AND($K$12&gt;=0.1,$K$12&lt;0.25),1,"")</f>
        <v/>
      </c>
      <c r="L18" s="28">
        <v>2</v>
      </c>
      <c r="M18" s="29" t="s">
        <v>107</v>
      </c>
    </row>
    <row r="19" spans="1:13" ht="16.5" thickBot="1">
      <c r="F19" s="32">
        <f>IF(AND(hodnotenie_SOS!$D$53&gt;=0,hodnotenie_SOS!$D$53&lt;15),1,"")</f>
        <v>1</v>
      </c>
      <c r="G19" s="33">
        <v>-1</v>
      </c>
      <c r="H19" s="34" t="s">
        <v>127</v>
      </c>
      <c r="K19" s="32" t="str">
        <f>IF($K$12&lt;0.1,1,"")</f>
        <v/>
      </c>
      <c r="L19" s="28">
        <v>0</v>
      </c>
      <c r="M19" s="30" t="s">
        <v>108</v>
      </c>
    </row>
    <row r="20" spans="1:13" ht="16.5" thickBot="1">
      <c r="A20" s="318" t="s">
        <v>80</v>
      </c>
      <c r="B20" s="319"/>
      <c r="C20" s="320"/>
      <c r="F20" s="297">
        <f>VLOOKUP(1,F13:G19,2)</f>
        <v>-1</v>
      </c>
      <c r="G20" s="298"/>
      <c r="H20" s="299"/>
      <c r="K20" s="49"/>
      <c r="L20" s="51"/>
      <c r="M20" s="52"/>
    </row>
    <row r="21" spans="1:13" ht="16.5" thickBot="1">
      <c r="A21" s="31" t="str">
        <f>IF(hodnotenie_SOS!$D$13&gt;=0.9,1,"")</f>
        <v/>
      </c>
      <c r="B21" s="26">
        <v>5</v>
      </c>
      <c r="C21" s="27" t="s">
        <v>68</v>
      </c>
      <c r="K21" s="50"/>
      <c r="L21" s="53"/>
      <c r="M21" s="54"/>
    </row>
    <row r="22" spans="1:13" ht="16.5" thickBot="1">
      <c r="A22" s="32" t="str">
        <f>IF(AND(hodnotenie_SOS!$D$13&gt;=0.8,hodnotenie_SOS!$D$13&lt;0.9),1,"")</f>
        <v/>
      </c>
      <c r="B22" s="28">
        <v>4</v>
      </c>
      <c r="C22" s="29" t="s">
        <v>69</v>
      </c>
      <c r="F22" s="303" t="s">
        <v>77</v>
      </c>
      <c r="G22" s="304"/>
      <c r="H22" s="305"/>
      <c r="K22" s="297">
        <f>VLOOKUP(1,K15:L21,2)</f>
        <v>3</v>
      </c>
      <c r="L22" s="298"/>
      <c r="M22" s="299"/>
    </row>
    <row r="23" spans="1:13" ht="15.75">
      <c r="A23" s="32" t="str">
        <f>IF(AND(hodnotenie_SOS!$D$13&gt;=0.7,hodnotenie_SOS!$D$13&lt;0.8),1,"")</f>
        <v/>
      </c>
      <c r="B23" s="28">
        <v>3</v>
      </c>
      <c r="C23" s="29" t="s">
        <v>70</v>
      </c>
      <c r="F23" s="31">
        <f>IF(hodnotenie_SOS!$D$73&gt;=0.9,1,"")</f>
        <v>1</v>
      </c>
      <c r="G23" s="26">
        <v>5</v>
      </c>
      <c r="H23" s="27" t="s">
        <v>68</v>
      </c>
    </row>
    <row r="24" spans="1:13" ht="15.75">
      <c r="A24" s="32" t="str">
        <f>IF(AND(hodnotenie_SOS!$D$13&gt;=0.6,hodnotenie_SOS!$D$13&lt;0.7),1,"")</f>
        <v/>
      </c>
      <c r="B24" s="28">
        <v>2</v>
      </c>
      <c r="C24" s="29" t="s">
        <v>71</v>
      </c>
      <c r="F24" s="32" t="str">
        <f>IF(AND(hodnotenie_SOS!$D$73&gt;=0.8,hodnotenie_SOS!$D$73&lt;0.9),1,"")</f>
        <v/>
      </c>
      <c r="G24" s="28">
        <v>4</v>
      </c>
      <c r="H24" s="29" t="s">
        <v>69</v>
      </c>
      <c r="K24" t="s">
        <v>110</v>
      </c>
      <c r="M24" s="48"/>
    </row>
    <row r="25" spans="1:13" ht="15.75">
      <c r="A25" s="32" t="str">
        <f>IF(AND(hodnotenie_SOS!$D$13&gt;=0.5,hodnotenie_SOS!$D$13&lt;0.6),1,"")</f>
        <v/>
      </c>
      <c r="B25" s="28">
        <v>1</v>
      </c>
      <c r="C25" s="30" t="s">
        <v>72</v>
      </c>
      <c r="F25" s="32" t="str">
        <f>IF(AND(hodnotenie_SOS!$D$73&gt;=0.6,hodnotenie_SOS!$D$73&lt;0.8),1,"")</f>
        <v/>
      </c>
      <c r="G25" s="28">
        <v>3</v>
      </c>
      <c r="H25" s="29" t="s">
        <v>75</v>
      </c>
    </row>
    <row r="26" spans="1:13" ht="16.5" thickBot="1">
      <c r="A26" s="32">
        <f>IF(AND(hodnotenie_SOS!$D$13&gt;=0,hodnotenie_SOS!$D$13&lt;0.5),1,"")</f>
        <v>1</v>
      </c>
      <c r="B26" s="33">
        <v>0</v>
      </c>
      <c r="C26" s="34" t="s">
        <v>73</v>
      </c>
      <c r="F26" s="32" t="str">
        <f>IF(AND(hodnotenie_SOS!$D$73&gt;=0.4,hodnotenie_SOS!$D$73&lt;0.6),1,"")</f>
        <v/>
      </c>
      <c r="G26" s="28">
        <v>2</v>
      </c>
      <c r="H26" s="29" t="s">
        <v>74</v>
      </c>
    </row>
    <row r="27" spans="1:13" ht="16.5" thickBot="1">
      <c r="A27" s="300">
        <f>VLOOKUP(1,A21:B26,2)</f>
        <v>0</v>
      </c>
      <c r="B27" s="301"/>
      <c r="C27" s="302"/>
      <c r="F27" s="32" t="str">
        <f>IF(AND(hodnotenie_SOS!$D$73&gt;0.25,hodnotenie_SOS!$D$73&lt;0.4),1,"")</f>
        <v/>
      </c>
      <c r="G27" s="28">
        <v>1</v>
      </c>
      <c r="H27" s="30" t="s">
        <v>78</v>
      </c>
    </row>
    <row r="28" spans="1:13" ht="16.5" thickBot="1">
      <c r="F28" s="32" t="str">
        <f>IF(AND(hodnotenie_SOS!$D$73&gt;=0,hodnotenie_SOS!$D$73&lt;=0.25),1,"")</f>
        <v/>
      </c>
      <c r="G28" s="33">
        <v>0</v>
      </c>
      <c r="H28" s="34" t="s">
        <v>79</v>
      </c>
    </row>
    <row r="29" spans="1:13" ht="16.5" thickBot="1">
      <c r="D29" t="s">
        <v>128</v>
      </c>
      <c r="F29" s="285">
        <f>VLOOKUP(1,F23:G28,2)</f>
        <v>5</v>
      </c>
      <c r="G29" s="286"/>
      <c r="H29" s="287"/>
    </row>
    <row r="30" spans="1:13" ht="15.75" thickBot="1"/>
    <row r="31" spans="1:13" ht="16.5" thickBot="1">
      <c r="A31" s="279" t="s">
        <v>136</v>
      </c>
      <c r="B31" s="280"/>
      <c r="C31" s="281"/>
    </row>
    <row r="32" spans="1:13" ht="15.75">
      <c r="A32" s="31" t="str">
        <f>IF(hodnotenie_SOS!$F$87&gt;=0.055,1,"")</f>
        <v/>
      </c>
      <c r="B32" s="26">
        <v>5</v>
      </c>
      <c r="C32" s="27" t="s">
        <v>135</v>
      </c>
    </row>
    <row r="33" spans="1:3" ht="15.75">
      <c r="A33" s="32" t="str">
        <f>IF(AND(hodnotenie_SOS!$F$87&gt;=0.045,hodnotenie_SOS!$F$87&lt;0.055),1,"")</f>
        <v/>
      </c>
      <c r="B33" s="28">
        <v>4</v>
      </c>
      <c r="C33" s="29" t="s">
        <v>134</v>
      </c>
    </row>
    <row r="34" spans="1:3" ht="15.75">
      <c r="A34" s="32" t="str">
        <f>IF(AND(hodnotenie_SOS!$F$87&gt;=0.025,hodnotenie_SOS!$F$87&lt;0.045),1,"")</f>
        <v/>
      </c>
      <c r="B34" s="28">
        <v>3</v>
      </c>
      <c r="C34" s="29" t="s">
        <v>133</v>
      </c>
    </row>
    <row r="35" spans="1:3" ht="15.75">
      <c r="A35" s="32" t="str">
        <f>IF(AND(hodnotenie_SOS!$F$87&gt;=0.015,hodnotenie_SOS!$F$87&lt;0.025),1,"")</f>
        <v/>
      </c>
      <c r="B35" s="28">
        <v>2</v>
      </c>
      <c r="C35" s="29" t="s">
        <v>132</v>
      </c>
    </row>
    <row r="36" spans="1:3" ht="15.75">
      <c r="A36" s="32">
        <f>IF(AND(hodnotenie_SOS!$F$87&gt;=0.005,hodnotenie_SOS!$F$87&lt;0.015),1,"")</f>
        <v>1</v>
      </c>
      <c r="B36" s="28">
        <v>1</v>
      </c>
      <c r="C36" s="30" t="s">
        <v>131</v>
      </c>
    </row>
    <row r="37" spans="1:3" ht="16.5" thickBot="1">
      <c r="A37" s="32" t="str">
        <f>IF(AND(hodnotenie_SOS!$F$87&gt;=0,hodnotenie_SOS!$F$87&lt;0.005),1,"")</f>
        <v/>
      </c>
      <c r="B37" s="33">
        <v>0</v>
      </c>
      <c r="C37" s="34" t="s">
        <v>130</v>
      </c>
    </row>
    <row r="38" spans="1:3" ht="16.5" thickBot="1">
      <c r="A38" s="282">
        <f>VLOOKUP(1,A32:B37,2)</f>
        <v>1</v>
      </c>
      <c r="B38" s="283"/>
      <c r="C38" s="284"/>
    </row>
  </sheetData>
  <sheetProtection password="E6D8" sheet="1" objects="1" scenarios="1"/>
  <mergeCells count="20">
    <mergeCell ref="K2:M2"/>
    <mergeCell ref="K10:M10"/>
    <mergeCell ref="A27:C27"/>
    <mergeCell ref="F2:H2"/>
    <mergeCell ref="F10:H10"/>
    <mergeCell ref="F22:H22"/>
    <mergeCell ref="A2:C2"/>
    <mergeCell ref="A9:C9"/>
    <mergeCell ref="A11:C11"/>
    <mergeCell ref="A18:C18"/>
    <mergeCell ref="A20:C20"/>
    <mergeCell ref="F12:H12"/>
    <mergeCell ref="F20:H20"/>
    <mergeCell ref="A31:C31"/>
    <mergeCell ref="A38:C38"/>
    <mergeCell ref="F29:H29"/>
    <mergeCell ref="L12:M13"/>
    <mergeCell ref="K12:K13"/>
    <mergeCell ref="K14:M14"/>
    <mergeCell ref="K22:M22"/>
  </mergeCells>
  <pageMargins left="0" right="0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hodnotenie_SOS</vt:lpstr>
      <vt:lpstr>kriteria_SOS</vt:lpstr>
      <vt:lpstr>hodnotenie_SOS!Oblasť_tlače</vt:lpstr>
      <vt:lpstr>kriteria_SOS!Oblasť_tlače</vt:lpstr>
    </vt:vector>
  </TitlesOfParts>
  <Company>Štátna školská inšpekcia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kozakova</dc:creator>
  <cp:lastModifiedBy>kozakova</cp:lastModifiedBy>
  <cp:lastPrinted>2013-04-17T06:29:34Z</cp:lastPrinted>
  <dcterms:created xsi:type="dcterms:W3CDTF">2012-12-01T09:50:42Z</dcterms:created>
  <dcterms:modified xsi:type="dcterms:W3CDTF">2013-06-14T11:41:18Z</dcterms:modified>
</cp:coreProperties>
</file>