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trlProps/ctrlProp9.xml" ContentType="application/vnd.ms-excel.control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trlProps/ctrlProp8.xml" ContentType="application/vnd.ms-excel.controlproperties+xml"/>
  <Override PartName="/xl/ctrlProps/ctrlProp7.xml" ContentType="application/vnd.ms-excel.control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ctrlProps/ctrlProp5.xml" ContentType="application/vnd.ms-excel.controlproperties+xml"/>
  <Override PartName="/xl/ctrlProps/ctrlProp6.xml" ContentType="application/vnd.ms-excel.controlproperties+xml"/>
  <Override PartName="/xl/sharedStrings.xml" ContentType="application/vnd.openxmlformats-officedocument.spreadsheetml.sharedStrings+xml"/>
  <Override PartName="/xl/ctrlProps/ctrlProp4.xml" ContentType="application/vnd.ms-excel.controlproperties+xml"/>
  <Override PartName="/xl/ctrlProps/ctrlProp3.xml" ContentType="application/vnd.ms-excel.controlproperties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135" windowWidth="19320" windowHeight="11025"/>
  </bookViews>
  <sheets>
    <sheet name="hodnotenie_GYM" sheetId="7" r:id="rId1"/>
    <sheet name="kriteria_GYM" sheetId="8" state="hidden" r:id="rId2"/>
  </sheets>
  <definedNames>
    <definedName name="_xlnm.Print_Area" localSheetId="0">hodnotenie_GYM!$A$1:$D$64</definedName>
    <definedName name="výber" localSheetId="0">hodnotenie_GYM!#REF!</definedName>
  </definedNames>
  <calcPr calcId="125725"/>
</workbook>
</file>

<file path=xl/calcChain.xml><?xml version="1.0" encoding="utf-8"?>
<calcChain xmlns="http://schemas.openxmlformats.org/spreadsheetml/2006/main">
  <c r="E15" i="7"/>
  <c r="E13"/>
  <c r="D13"/>
  <c r="K20" i="8"/>
  <c r="K19"/>
  <c r="K18"/>
  <c r="K17"/>
  <c r="K16"/>
  <c r="K15"/>
  <c r="K14"/>
  <c r="E53" i="7" l="1"/>
  <c r="E54"/>
  <c r="D35" l="1"/>
  <c r="G56"/>
  <c r="E61"/>
  <c r="E57"/>
  <c r="E26"/>
  <c r="E25" s="1"/>
  <c r="D25" s="1"/>
  <c r="E24"/>
  <c r="E23"/>
  <c r="E22"/>
  <c r="D18"/>
  <c r="A6" i="8" s="1"/>
  <c r="E12" i="7"/>
  <c r="D10" s="1"/>
  <c r="F52"/>
  <c r="A28" i="8" s="1"/>
  <c r="E5" i="7"/>
  <c r="D17"/>
  <c r="A5" i="8"/>
  <c r="D62" i="7"/>
  <c r="E59"/>
  <c r="E58"/>
  <c r="C50"/>
  <c r="C49"/>
  <c r="C48"/>
  <c r="D47"/>
  <c r="C34"/>
  <c r="C31"/>
  <c r="D29"/>
  <c r="F4" i="8" s="1"/>
  <c r="F15" i="7"/>
  <c r="E4"/>
  <c r="E3"/>
  <c r="F14" i="8" l="1"/>
  <c r="F16"/>
  <c r="F18"/>
  <c r="F17"/>
  <c r="F15"/>
  <c r="F19"/>
  <c r="K8"/>
  <c r="K6"/>
  <c r="K4"/>
  <c r="K7"/>
  <c r="K5"/>
  <c r="K3"/>
  <c r="K9"/>
  <c r="F8"/>
  <c r="F6"/>
  <c r="F7"/>
  <c r="F5"/>
  <c r="F9"/>
  <c r="F3"/>
  <c r="A8"/>
  <c r="A4"/>
  <c r="A7"/>
  <c r="A3"/>
  <c r="A18"/>
  <c r="A16"/>
  <c r="A14"/>
  <c r="A17"/>
  <c r="A15"/>
  <c r="A13"/>
  <c r="E21" i="7"/>
  <c r="D21" s="1"/>
  <c r="A25" i="8"/>
  <c r="A27"/>
  <c r="A29"/>
  <c r="A24"/>
  <c r="A26"/>
  <c r="E56" i="7"/>
  <c r="E55" s="1"/>
  <c r="D55" s="1"/>
  <c r="A9" i="8"/>
  <c r="E17" i="7" s="1"/>
  <c r="K21" i="8"/>
  <c r="E45" i="7" s="1"/>
  <c r="K10" i="8" l="1"/>
  <c r="E35" i="7" s="1"/>
  <c r="A19" i="8"/>
  <c r="E10" i="7" s="1"/>
  <c r="F20" i="8"/>
  <c r="E47" i="7" s="1"/>
  <c r="D46" s="1"/>
  <c r="E16"/>
  <c r="D16" s="1"/>
  <c r="F10" i="8"/>
  <c r="E29" i="7" s="1"/>
  <c r="A30" i="8"/>
  <c r="E52" i="7" s="1"/>
  <c r="E51" s="1"/>
  <c r="D51" s="1"/>
  <c r="E18"/>
  <c r="E9" l="1"/>
  <c r="D9" s="1"/>
  <c r="E28"/>
  <c r="E27" s="1"/>
  <c r="D27" s="1"/>
  <c r="D6" l="1"/>
</calcChain>
</file>

<file path=xl/sharedStrings.xml><?xml version="1.0" encoding="utf-8"?>
<sst xmlns="http://schemas.openxmlformats.org/spreadsheetml/2006/main" count="250" uniqueCount="181">
  <si>
    <t>Škola</t>
  </si>
  <si>
    <t>I.</t>
  </si>
  <si>
    <t>1.</t>
  </si>
  <si>
    <t>3.</t>
  </si>
  <si>
    <t>4.</t>
  </si>
  <si>
    <t>pod 70%</t>
  </si>
  <si>
    <t>II.</t>
  </si>
  <si>
    <t>5.</t>
  </si>
  <si>
    <t>6.</t>
  </si>
  <si>
    <t>7.</t>
  </si>
  <si>
    <t>III.</t>
  </si>
  <si>
    <t>8.</t>
  </si>
  <si>
    <t>9.</t>
  </si>
  <si>
    <t>10.</t>
  </si>
  <si>
    <t>11.</t>
  </si>
  <si>
    <t>IV.</t>
  </si>
  <si>
    <t>12.</t>
  </si>
  <si>
    <t>13.</t>
  </si>
  <si>
    <t>14.</t>
  </si>
  <si>
    <t>V.</t>
  </si>
  <si>
    <t>16.</t>
  </si>
  <si>
    <t>áno</t>
  </si>
  <si>
    <t>nie</t>
  </si>
  <si>
    <t>percentuálna úspešnosť PFIČ v SJSL</t>
  </si>
  <si>
    <t>percentuálna úspešnosť PFIČ v CUJ</t>
  </si>
  <si>
    <t>študijný odbor</t>
  </si>
  <si>
    <t>učebný odbor</t>
  </si>
  <si>
    <t>2.</t>
  </si>
  <si>
    <t>II. a</t>
  </si>
  <si>
    <t>II. b</t>
  </si>
  <si>
    <t>II. c</t>
  </si>
  <si>
    <t xml:space="preserve">VI. </t>
  </si>
  <si>
    <t>dosiahnutá úroveň oblasti riadenia</t>
  </si>
  <si>
    <t>dosiahnutá úroveň oblasti podmienok výchovy a vzdelávania</t>
  </si>
  <si>
    <t>dosiahnutá úroveň výchovno-vzdelávacieho procesu</t>
  </si>
  <si>
    <t>veľmi dobrá</t>
  </si>
  <si>
    <t>dobrá</t>
  </si>
  <si>
    <t>priemerná</t>
  </si>
  <si>
    <t>málo vyhovujúca</t>
  </si>
  <si>
    <t>nevyhovujúca</t>
  </si>
  <si>
    <t>ÚPSVaR</t>
  </si>
  <si>
    <t>škola</t>
  </si>
  <si>
    <t>NÚCEM</t>
  </si>
  <si>
    <t xml:space="preserve">Výsledky z celoslovenských kôl súťaží alebo predmetových olympiád a výsledkov medzinárodných kôl súťaží alebo predmetových olympiád </t>
  </si>
  <si>
    <t>Výsledky monitorovania a hodnotenia kvality výchovy a vzdelávania vykonaných ŠŠI</t>
  </si>
  <si>
    <t>Počet žiakov dennej formy štúdia</t>
  </si>
  <si>
    <t xml:space="preserve">Kvantitatívne kritériá </t>
  </si>
  <si>
    <t>z nich evidovaní uchádzači o zamestnanie - absolventi školy na ÚPSVaR</t>
  </si>
  <si>
    <t xml:space="preserve">Uplatniteľnosť absolventov </t>
  </si>
  <si>
    <t>Zabezpečenie výchovy a vzdelávania</t>
  </si>
  <si>
    <t>Personálne zabezpečenie</t>
  </si>
  <si>
    <t>Materiálno-technické zabezpečenie</t>
  </si>
  <si>
    <t>Priestorové zabezpečenie</t>
  </si>
  <si>
    <t>Výsledky internej časti maturitnej skúšky</t>
  </si>
  <si>
    <t>Posudzovaný odbor vzdelávania (názov; kód):</t>
  </si>
  <si>
    <t>&lt;95%;100%&gt;</t>
  </si>
  <si>
    <t>&lt;90%;95%)</t>
  </si>
  <si>
    <t>&lt;85%;90%)</t>
  </si>
  <si>
    <t>&lt;77,5%;85%)</t>
  </si>
  <si>
    <t>&lt;70%;77,5%)</t>
  </si>
  <si>
    <t>&lt;90%;100%&gt;</t>
  </si>
  <si>
    <t>&lt;80%;90%)</t>
  </si>
  <si>
    <t>&lt;70%;80%)</t>
  </si>
  <si>
    <t>&lt;60%;70%)</t>
  </si>
  <si>
    <t>&lt;50%;60%)</t>
  </si>
  <si>
    <t>pod 50%</t>
  </si>
  <si>
    <t>&lt;40%;60%)</t>
  </si>
  <si>
    <t>&lt;60%;80%)</t>
  </si>
  <si>
    <t>Externá časť MS (percentil)</t>
  </si>
  <si>
    <t>Písomná forma IČ MS (úspešnosť v %)</t>
  </si>
  <si>
    <t>&lt;25%;40%)</t>
  </si>
  <si>
    <t>25% a menej</t>
  </si>
  <si>
    <t>Naplnenosť tried (D13)</t>
  </si>
  <si>
    <t>Vzdelávacia kapacita školy v posudzovanom odbore</t>
  </si>
  <si>
    <t>písomná forma</t>
  </si>
  <si>
    <t>Výsledky  externej časti maturitnej skúšky</t>
  </si>
  <si>
    <t>vyplniť</t>
  </si>
  <si>
    <t>ÚIPŠ - zber k 15.9.</t>
  </si>
  <si>
    <t xml:space="preserve">ÚIPŠ - zber k 15.9. </t>
  </si>
  <si>
    <t>ÚIPŠ - zber k 15. 9. - absolventi za minulý školský rok</t>
  </si>
  <si>
    <t>(1 údaj)</t>
  </si>
  <si>
    <t>percentil  školy vo vyučovacom jazyku 1 (SJL)</t>
  </si>
  <si>
    <t>číselná hodnota</t>
  </si>
  <si>
    <t>(výber z 5 možností - veľmi dobrá; dobrá; priemerná; málo vyhovujúca; nevyhovujúca)</t>
  </si>
  <si>
    <t>zdroj ŠŠI</t>
  </si>
  <si>
    <t>pomer plánu výkonov (ŠVS) a reálneho počtu novoprijatých žiakov 1. ročníka (zahajovací výkaz k 15. 9.)</t>
  </si>
  <si>
    <t>MŠVVaŠ</t>
  </si>
  <si>
    <t>Externá časť MS (percentil) - úroveň B2</t>
  </si>
  <si>
    <t>percentil školy z vyučovacích jazykov a SJSL</t>
  </si>
  <si>
    <t>&lt;75%;100%&gt;</t>
  </si>
  <si>
    <t xml:space="preserve">percentil  školy vo vyučovacom jazyku 2 </t>
  </si>
  <si>
    <t>biling. zahrnúť do CUJ B2</t>
  </si>
  <si>
    <t>PFIČ</t>
  </si>
  <si>
    <t>Vhodnosť a dostatočnosť  kapacity priestorov pre realizáciu vzdelávania (existencia odborných učební, laboratórií (chémia, biológia, fyzika), vlastná telocvičňa, ihrisko.</t>
  </si>
  <si>
    <t>Odbornosť všeobecno-vzdelávacích predmetov (D15)</t>
  </si>
  <si>
    <t>Kritériá hodnotenia GYM</t>
  </si>
  <si>
    <t>15.</t>
  </si>
  <si>
    <t xml:space="preserve">Odbornosť vyučovania (%) </t>
  </si>
  <si>
    <r>
      <t xml:space="preserve">Vybavenie školy pre vyučovanie vzdelávacej oblasti </t>
    </r>
    <r>
      <rPr>
        <b/>
        <i/>
        <sz val="12"/>
        <color indexed="8"/>
        <rFont val="Times New Roman"/>
        <family val="1"/>
        <charset val="238"/>
      </rPr>
      <t xml:space="preserve">Človek a príroda </t>
    </r>
    <r>
      <rPr>
        <sz val="12"/>
        <color indexed="8"/>
        <rFont val="Times New Roman"/>
        <family val="1"/>
        <charset val="238"/>
      </rPr>
      <t>(vybavenie laboratórií a odborných učební v súlade s požiadavkami vzdelávacích štandardov)</t>
    </r>
  </si>
  <si>
    <t>percentil školy v MAT</t>
  </si>
  <si>
    <t>Externá časť MS (percentil) - MAT</t>
  </si>
  <si>
    <t>&lt;55%;75%)</t>
  </si>
  <si>
    <t>&lt;45%;55%)</t>
  </si>
  <si>
    <t>&lt;35%;45%)</t>
  </si>
  <si>
    <t>&lt;25%;35%)</t>
  </si>
  <si>
    <t>&lt;15%;25%)</t>
  </si>
  <si>
    <t>pod 15%</t>
  </si>
  <si>
    <t>pod 0,5%</t>
  </si>
  <si>
    <t>&lt;0,5%;1,5%)</t>
  </si>
  <si>
    <t>&lt;1,5%;2,5%)</t>
  </si>
  <si>
    <t>&lt;2,5%;4,5%)</t>
  </si>
  <si>
    <t>&lt;4,5%;5,5%)</t>
  </si>
  <si>
    <t>&lt;5,5%;100%&gt;</t>
  </si>
  <si>
    <t>Podiel žiakov na súťažiach (F62)</t>
  </si>
  <si>
    <t>Počet žiakov, ktorí získali ocenenie v medzinárodných kolách súťaží alebo predmetových olympiád</t>
  </si>
  <si>
    <t>z nich počet žiakov, ktorí sa umiestnili na 1. - 3. mieste</t>
  </si>
  <si>
    <t>Počet žiakov školy, ktorí sa zúčastnili celoslovenských kôl súťaží alebo predmetových olympiád</t>
  </si>
  <si>
    <r>
      <t xml:space="preserve">Počet žiakov </t>
    </r>
    <r>
      <rPr>
        <b/>
        <i/>
        <sz val="12"/>
        <color theme="1"/>
        <rFont val="Times New Roman"/>
        <family val="1"/>
        <charset val="238"/>
      </rPr>
      <t>prijatých</t>
    </r>
    <r>
      <rPr>
        <sz val="12"/>
        <color theme="1"/>
        <rFont val="Times New Roman"/>
        <family val="1"/>
        <charset val="238"/>
      </rPr>
      <t xml:space="preserve"> do 1. ročníka posudzovaného odboru</t>
    </r>
  </si>
  <si>
    <t>17.</t>
  </si>
  <si>
    <t>18.</t>
  </si>
  <si>
    <t>19.</t>
  </si>
  <si>
    <t>21.</t>
  </si>
  <si>
    <t>22.</t>
  </si>
  <si>
    <t>23.</t>
  </si>
  <si>
    <t>24.</t>
  </si>
  <si>
    <t>25.</t>
  </si>
  <si>
    <t>26.</t>
  </si>
  <si>
    <t>27.</t>
  </si>
  <si>
    <t>28.</t>
  </si>
  <si>
    <t>38.</t>
  </si>
  <si>
    <t>39.</t>
  </si>
  <si>
    <t>40.</t>
  </si>
  <si>
    <t>41.</t>
  </si>
  <si>
    <t>42.</t>
  </si>
  <si>
    <t>43.</t>
  </si>
  <si>
    <t>Naplnenosť tried</t>
  </si>
  <si>
    <t>počet absolventov (predchádzajúce 2 ukončené školské roky)</t>
  </si>
  <si>
    <t>Výsledky žiakov pri ukončovaní štúdia za predchádzajúci školský rok</t>
  </si>
  <si>
    <t>počet žiakov, ktorí absolvovali EČ MS z vyučovacieho jazyka 1</t>
  </si>
  <si>
    <t>počet žiakov, ktorí absolvovali EČ MS z vyučovacieho jazyka 2 (iný ako SJL)</t>
  </si>
  <si>
    <t>počet žiakov, ktorí absolvovali EČ MS z matematiky (MAT)</t>
  </si>
  <si>
    <t>dosiahnutá úroveň zhody ŠkVP so ŠVP</t>
  </si>
  <si>
    <t>výber</t>
  </si>
  <si>
    <t xml:space="preserve">Výsledky komplexnej inšpekcie </t>
  </si>
  <si>
    <t>uviesť rok výkonu</t>
  </si>
  <si>
    <r>
      <t xml:space="preserve">Výsledky </t>
    </r>
    <r>
      <rPr>
        <b/>
        <i/>
        <sz val="12"/>
        <color indexed="8"/>
        <rFont val="Times New Roman"/>
        <family val="1"/>
        <charset val="238"/>
      </rPr>
      <t xml:space="preserve">tematickej inšpekcie </t>
    </r>
    <r>
      <rPr>
        <sz val="12"/>
        <color indexed="8"/>
        <rFont val="Times New Roman"/>
        <family val="1"/>
        <charset val="238"/>
      </rPr>
      <t xml:space="preserve">orientovanej na súlad ŠkVP so ŠVP v príslušnej skupine odborov  - </t>
    </r>
    <r>
      <rPr>
        <b/>
        <i/>
        <sz val="12"/>
        <color indexed="8"/>
        <rFont val="Times New Roman"/>
        <family val="1"/>
        <charset val="238"/>
      </rPr>
      <t xml:space="preserve">uviesť rok výkonu </t>
    </r>
  </si>
  <si>
    <t>Počet tried 1. ročníka, ktorý bol určený v predchádzajúcom šk. roku</t>
  </si>
  <si>
    <r>
      <t xml:space="preserve">celkový týždenný počet vyučovacích hodín </t>
    </r>
    <r>
      <rPr>
        <sz val="12"/>
        <color theme="1"/>
        <rFont val="Times New Roman"/>
        <family val="1"/>
        <charset val="238"/>
      </rPr>
      <t>podľa ŠkVP posudzovaného odboru</t>
    </r>
  </si>
  <si>
    <t>percentuálna úspešnosť PFIČ vo vyučovacom jazyku/vyučovacích jazykoch</t>
  </si>
  <si>
    <t>percentil školy v slovenskom jazyku a slovenskej literatúre (SJSL)</t>
  </si>
  <si>
    <t>20.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</si>
  <si>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</si>
  <si>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</si>
  <si>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</si>
  <si>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</si>
  <si>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</si>
  <si>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</si>
  <si>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</si>
  <si>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</si>
  <si>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</si>
  <si>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počet žiakov, ktorí absolvovali EČ MS z anglického jazyka (ANJ)</t>
  </si>
  <si>
    <t>počet žiakov, ktorí absolvovali EČ MS z francúzskeho jazyka (FRJ)</t>
  </si>
  <si>
    <t>počet žiakov, ktorí absolvovali EČ MS z ruského jazyka (RUJ)</t>
  </si>
  <si>
    <t>percentil školy v ANJ</t>
  </si>
  <si>
    <t>percentil školy v NEJ</t>
  </si>
  <si>
    <t>percentil školy v RUJ</t>
  </si>
  <si>
    <t>počet žiakov, ktorí absolvovali EČ MS z nemeckého jazyka (NEJ)</t>
  </si>
  <si>
    <t>percentil školy z cudzieho jazyka (CUJ)</t>
  </si>
  <si>
    <r>
      <t xml:space="preserve">Vybavenie školy pre vyučovanie vzdelávacej oblasti </t>
    </r>
    <r>
      <rPr>
        <b/>
        <i/>
        <sz val="12"/>
        <color indexed="8"/>
        <rFont val="Times New Roman"/>
        <family val="1"/>
        <charset val="238"/>
      </rPr>
      <t>Matematika a práca 
s informáciami</t>
    </r>
    <r>
      <rPr>
        <sz val="12"/>
        <color indexed="8"/>
        <rFont val="Times New Roman"/>
        <family val="1"/>
        <charset val="238"/>
      </rPr>
      <t xml:space="preserve"> (škola disponuje dostatočným počtom výkonných PC, ktoré sú zosieťované (LAN) s možnosťou pripojenia na vysokorýchlostný internet )</t>
    </r>
  </si>
  <si>
    <t>Kvantitatívna charakteristika  školy</t>
  </si>
  <si>
    <t>Počet žiakov dennej formy štúdia v posudzovanom študijnom odbore - zameraní</t>
  </si>
  <si>
    <t>percentil školy vo FRJ</t>
  </si>
  <si>
    <r>
      <t xml:space="preserve">týždenný počet vyučovacích hodín podľa ŠkVP posudzovaného odboru, ktorý </t>
    </r>
    <r>
      <rPr>
        <b/>
        <i/>
        <sz val="12"/>
        <color theme="1"/>
        <rFont val="Times New Roman"/>
        <family val="1"/>
        <charset val="238"/>
      </rPr>
      <t>zabezpečujú pg.zamestnanci spĺňajúci kvalifikačné predpoklady a osobitné kvalifikačné požiadavky</t>
    </r>
  </si>
  <si>
    <t>kód</t>
  </si>
  <si>
    <t>názov</t>
  </si>
  <si>
    <t>Počet žiakov iných foriem štúdia</t>
  </si>
  <si>
    <t>Účasť školy v medzinárodných projektoch alebo medzinárodných programoch</t>
  </si>
  <si>
    <t>Účasť školy v  medzinárodných projektoch alebo medzinárodných programoch, ktoré boli ukončené (posledných 5 rokov) - uviesť počet.</t>
  </si>
  <si>
    <t>Účasť školy v  medzinárodných projektoch alebo medzinárodných programoch, ktoré škola uskutočňuje (uviesť počet)</t>
  </si>
  <si>
    <t>IČO:</t>
  </si>
  <si>
    <r>
      <t xml:space="preserve">Vybavenie školy pre vyučovanie vzdelávacej oblasti </t>
    </r>
    <r>
      <rPr>
        <b/>
        <i/>
        <sz val="12"/>
        <color indexed="8"/>
        <rFont val="Times New Roman"/>
        <family val="1"/>
        <charset val="238"/>
      </rPr>
      <t xml:space="preserve">Zdravie a pohyb </t>
    </r>
    <r>
      <rPr>
        <sz val="12"/>
        <color indexed="8"/>
        <rFont val="Times New Roman"/>
        <family val="1"/>
        <charset val="238"/>
      </rPr>
      <t>(škola má primerané vybavenie pre realizáciu vyučovania predmetu telesná a športová výchova/športová príprava)</t>
    </r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</si>
</sst>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indexed="9"/>
      <name val="Times New Roman CE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3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i/>
      <sz val="16"/>
      <color theme="1"/>
      <name val="Times New Roman"/>
      <family val="1"/>
      <charset val="238"/>
    </font>
    <font>
      <sz val="12"/>
      <color theme="0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</fonts>
  <fills count="1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250">
    <xf numFmtId="0" fontId="0" fillId="0" borderId="0" xfId="0"/>
    <xf numFmtId="0" fontId="0" fillId="0" borderId="0" xfId="0" applyFill="1"/>
    <xf numFmtId="0" fontId="0" fillId="0" borderId="0" xfId="0" applyAlignment="1">
      <alignment horizontal="left"/>
    </xf>
    <xf numFmtId="0" fontId="10" fillId="2" borderId="5" xfId="0" applyFont="1" applyFill="1" applyBorder="1" applyAlignment="1">
      <alignment horizontal="center" vertical="center"/>
    </xf>
    <xf numFmtId="10" fontId="12" fillId="3" borderId="12" xfId="0" applyNumberFormat="1" applyFont="1" applyFill="1" applyBorder="1" applyAlignment="1" applyProtection="1">
      <alignment horizontal="center" vertical="center" wrapText="1"/>
      <protection hidden="1"/>
    </xf>
    <xf numFmtId="1" fontId="13" fillId="3" borderId="16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0" fillId="0" borderId="0" xfId="0" applyFill="1" applyProtection="1">
      <protection hidden="1"/>
    </xf>
    <xf numFmtId="0" fontId="12" fillId="2" borderId="12" xfId="0" applyFont="1" applyFill="1" applyBorder="1" applyAlignment="1" applyProtection="1">
      <alignment horizontal="center" vertical="center" wrapText="1"/>
      <protection locked="0" hidden="1"/>
    </xf>
    <xf numFmtId="0" fontId="11" fillId="0" borderId="16" xfId="0" applyFont="1" applyFill="1" applyBorder="1" applyAlignment="1" applyProtection="1">
      <alignment horizontal="center" vertical="center"/>
      <protection locked="0" hidden="1"/>
    </xf>
    <xf numFmtId="0" fontId="0" fillId="0" borderId="0" xfId="0" applyProtection="1">
      <protection locked="0" hidden="1"/>
    </xf>
    <xf numFmtId="0" fontId="0" fillId="0" borderId="0" xfId="0" applyAlignment="1" applyProtection="1">
      <alignment horizontal="left"/>
      <protection hidden="1"/>
    </xf>
    <xf numFmtId="0" fontId="12" fillId="0" borderId="8" xfId="0" applyFont="1" applyFill="1" applyBorder="1" applyProtection="1">
      <protection locked="0" hidden="1"/>
    </xf>
    <xf numFmtId="0" fontId="0" fillId="0" borderId="6" xfId="0" applyFill="1" applyBorder="1" applyAlignment="1" applyProtection="1">
      <alignment vertical="center" wrapText="1"/>
      <protection locked="0" hidden="1"/>
    </xf>
    <xf numFmtId="1" fontId="13" fillId="3" borderId="16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7" xfId="0" applyFont="1" applyFill="1" applyBorder="1" applyProtection="1">
      <protection locked="0" hidden="1"/>
    </xf>
    <xf numFmtId="0" fontId="12" fillId="0" borderId="14" xfId="0" applyFont="1" applyBorder="1" applyProtection="1">
      <protection locked="0" hidden="1"/>
    </xf>
    <xf numFmtId="0" fontId="12" fillId="0" borderId="12" xfId="0" applyFont="1" applyBorder="1" applyProtection="1">
      <protection locked="0" hidden="1"/>
    </xf>
    <xf numFmtId="0" fontId="12" fillId="0" borderId="33" xfId="0" applyFont="1" applyFill="1" applyBorder="1" applyProtection="1">
      <protection locked="0" hidden="1"/>
    </xf>
    <xf numFmtId="0" fontId="12" fillId="0" borderId="6" xfId="0" applyFont="1" applyFill="1" applyBorder="1" applyProtection="1">
      <protection locked="0" hidden="1"/>
    </xf>
    <xf numFmtId="2" fontId="13" fillId="3" borderId="17" xfId="0" applyNumberFormat="1" applyFont="1" applyFill="1" applyBorder="1" applyAlignment="1" applyProtection="1">
      <alignment horizontal="center" vertical="center"/>
      <protection hidden="1"/>
    </xf>
    <xf numFmtId="0" fontId="15" fillId="0" borderId="0" xfId="0" applyFont="1"/>
    <xf numFmtId="0" fontId="12" fillId="0" borderId="35" xfId="0" applyFont="1" applyBorder="1"/>
    <xf numFmtId="0" fontId="12" fillId="0" borderId="44" xfId="0" applyFont="1" applyBorder="1"/>
    <xf numFmtId="0" fontId="12" fillId="0" borderId="26" xfId="0" applyFont="1" applyBorder="1"/>
    <xf numFmtId="0" fontId="12" fillId="0" borderId="34" xfId="0" applyFont="1" applyBorder="1"/>
    <xf numFmtId="9" fontId="12" fillId="0" borderId="34" xfId="0" applyNumberFormat="1" applyFont="1" applyBorder="1"/>
    <xf numFmtId="0" fontId="17" fillId="0" borderId="45" xfId="0" applyFont="1" applyFill="1" applyBorder="1"/>
    <xf numFmtId="0" fontId="17" fillId="0" borderId="14" xfId="0" applyFont="1" applyFill="1" applyBorder="1"/>
    <xf numFmtId="0" fontId="12" fillId="0" borderId="46" xfId="0" applyFont="1" applyBorder="1"/>
    <xf numFmtId="0" fontId="12" fillId="0" borderId="37" xfId="0" applyFont="1" applyBorder="1"/>
    <xf numFmtId="0" fontId="12" fillId="0" borderId="36" xfId="0" applyFont="1" applyFill="1" applyBorder="1" applyAlignment="1" applyProtection="1">
      <alignment horizontal="center" vertical="center" wrapText="1"/>
      <protection locked="0" hidden="1"/>
    </xf>
    <xf numFmtId="9" fontId="10" fillId="3" borderId="17" xfId="2" applyFont="1" applyFill="1" applyBorder="1" applyAlignment="1" applyProtection="1">
      <alignment horizontal="center" vertical="center" wrapText="1"/>
      <protection hidden="1"/>
    </xf>
    <xf numFmtId="2" fontId="13" fillId="3" borderId="16" xfId="0" applyNumberFormat="1" applyFont="1" applyFill="1" applyBorder="1" applyAlignment="1" applyProtection="1">
      <alignment horizontal="center" vertical="center"/>
      <protection hidden="1"/>
    </xf>
    <xf numFmtId="0" fontId="12" fillId="0" borderId="0" xfId="0" applyFont="1"/>
    <xf numFmtId="0" fontId="12" fillId="8" borderId="0" xfId="0" applyFont="1" applyFill="1"/>
    <xf numFmtId="10" fontId="10" fillId="3" borderId="17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Fill="1"/>
    <xf numFmtId="0" fontId="12" fillId="0" borderId="36" xfId="0" applyFont="1" applyBorder="1" applyAlignment="1" applyProtection="1">
      <alignment horizontal="center" vertical="center" wrapText="1"/>
      <protection hidden="1"/>
    </xf>
    <xf numFmtId="0" fontId="0" fillId="10" borderId="0" xfId="0" applyFill="1"/>
    <xf numFmtId="0" fontId="12" fillId="0" borderId="12" xfId="0" applyFont="1" applyBorder="1" applyAlignment="1" applyProtection="1">
      <alignment horizontal="center" vertical="center" wrapText="1"/>
      <protection hidden="1"/>
    </xf>
    <xf numFmtId="2" fontId="5" fillId="0" borderId="0" xfId="0" applyNumberFormat="1" applyFont="1"/>
    <xf numFmtId="0" fontId="12" fillId="0" borderId="47" xfId="0" applyFont="1" applyBorder="1" applyAlignment="1" applyProtection="1">
      <alignment horizontal="center" vertical="center" wrapText="1"/>
      <protection hidden="1"/>
    </xf>
    <xf numFmtId="0" fontId="7" fillId="2" borderId="50" xfId="0" applyFont="1" applyFill="1" applyBorder="1" applyAlignment="1" applyProtection="1">
      <alignment vertical="center"/>
      <protection locked="0" hidden="1"/>
    </xf>
    <xf numFmtId="0" fontId="7" fillId="2" borderId="6" xfId="0" applyFont="1" applyFill="1" applyBorder="1" applyAlignment="1" applyProtection="1">
      <alignment vertical="center"/>
      <protection locked="0" hidden="1"/>
    </xf>
    <xf numFmtId="0" fontId="7" fillId="2" borderId="16" xfId="0" applyFont="1" applyFill="1" applyBorder="1" applyAlignment="1" applyProtection="1">
      <alignment horizontal="center" vertical="center"/>
      <protection locked="0" hidden="1"/>
    </xf>
    <xf numFmtId="1" fontId="12" fillId="2" borderId="36" xfId="0" applyNumberFormat="1" applyFont="1" applyFill="1" applyBorder="1" applyAlignment="1" applyProtection="1">
      <alignment horizontal="center" vertical="center" wrapText="1"/>
      <protection locked="0" hidden="1"/>
    </xf>
    <xf numFmtId="1" fontId="12" fillId="2" borderId="12" xfId="0" applyNumberFormat="1" applyFont="1" applyFill="1" applyBorder="1" applyAlignment="1" applyProtection="1">
      <alignment horizontal="center" vertical="center" wrapText="1"/>
      <protection locked="0" hidden="1"/>
    </xf>
    <xf numFmtId="164" fontId="12" fillId="2" borderId="14" xfId="0" applyNumberFormat="1" applyFont="1" applyFill="1" applyBorder="1" applyAlignment="1" applyProtection="1">
      <alignment horizontal="center" vertical="center" wrapText="1"/>
      <protection locked="0" hidden="1"/>
    </xf>
    <xf numFmtId="164" fontId="12" fillId="2" borderId="36" xfId="0" applyNumberFormat="1" applyFont="1" applyFill="1" applyBorder="1" applyAlignment="1" applyProtection="1">
      <alignment horizontal="center" vertical="center" wrapText="1"/>
      <protection locked="0" hidden="1"/>
    </xf>
    <xf numFmtId="0" fontId="12" fillId="0" borderId="15" xfId="0" applyFont="1" applyFill="1" applyBorder="1" applyProtection="1">
      <protection locked="0" hidden="1"/>
    </xf>
    <xf numFmtId="0" fontId="12" fillId="0" borderId="10" xfId="0" applyFont="1" applyFill="1" applyBorder="1" applyProtection="1">
      <protection locked="0" hidden="1"/>
    </xf>
    <xf numFmtId="0" fontId="12" fillId="2" borderId="17" xfId="0" applyFont="1" applyFill="1" applyBorder="1" applyProtection="1">
      <protection locked="0" hidden="1"/>
    </xf>
    <xf numFmtId="10" fontId="12" fillId="2" borderId="12" xfId="0" applyNumberFormat="1" applyFont="1" applyFill="1" applyBorder="1" applyAlignment="1" applyProtection="1">
      <alignment horizontal="center" vertical="center" wrapText="1"/>
      <protection locked="0" hidden="1"/>
    </xf>
    <xf numFmtId="0" fontId="12" fillId="2" borderId="13" xfId="0" applyFont="1" applyFill="1" applyBorder="1" applyAlignment="1" applyProtection="1">
      <alignment horizontal="center" vertical="center" wrapText="1"/>
      <protection locked="0" hidden="1"/>
    </xf>
    <xf numFmtId="0" fontId="12" fillId="2" borderId="17" xfId="0" applyFont="1" applyFill="1" applyBorder="1" applyAlignment="1" applyProtection="1">
      <alignment horizontal="center" vertical="center"/>
      <protection locked="0" hidden="1"/>
    </xf>
    <xf numFmtId="0" fontId="12" fillId="2" borderId="12" xfId="0" applyFont="1" applyFill="1" applyBorder="1" applyAlignment="1" applyProtection="1">
      <alignment horizontal="center" vertical="center"/>
      <protection locked="0" hidden="1"/>
    </xf>
    <xf numFmtId="0" fontId="12" fillId="2" borderId="36" xfId="0" applyFont="1" applyFill="1" applyBorder="1" applyAlignment="1" applyProtection="1">
      <alignment horizontal="center" vertical="center"/>
      <protection locked="0" hidden="1"/>
    </xf>
    <xf numFmtId="0" fontId="12" fillId="2" borderId="12" xfId="0" applyFont="1" applyFill="1" applyBorder="1" applyProtection="1">
      <protection locked="0" hidden="1"/>
    </xf>
    <xf numFmtId="1" fontId="12" fillId="2" borderId="47" xfId="0" applyNumberFormat="1" applyFont="1" applyFill="1" applyBorder="1" applyAlignment="1" applyProtection="1">
      <alignment horizontal="center" vertical="center" wrapText="1"/>
      <protection locked="0" hidden="1"/>
    </xf>
    <xf numFmtId="1" fontId="16" fillId="2" borderId="38" xfId="0" applyNumberFormat="1" applyFont="1" applyFill="1" applyBorder="1" applyAlignment="1" applyProtection="1">
      <alignment horizontal="center" vertical="center" wrapText="1"/>
      <protection locked="0" hidden="1"/>
    </xf>
    <xf numFmtId="1" fontId="10" fillId="3" borderId="12" xfId="0" applyNumberFormat="1" applyFont="1" applyFill="1" applyBorder="1" applyAlignment="1" applyProtection="1">
      <alignment horizontal="center" vertical="center" wrapText="1"/>
      <protection hidden="1"/>
    </xf>
    <xf numFmtId="9" fontId="10" fillId="3" borderId="17" xfId="0" applyNumberFormat="1" applyFont="1" applyFill="1" applyBorder="1" applyAlignment="1" applyProtection="1">
      <alignment horizontal="center" vertical="center" wrapText="1"/>
      <protection hidden="1"/>
    </xf>
    <xf numFmtId="9" fontId="12" fillId="3" borderId="12" xfId="0" applyNumberFormat="1" applyFont="1" applyFill="1" applyBorder="1" applyAlignment="1" applyProtection="1">
      <alignment horizontal="center" vertical="center" wrapText="1"/>
      <protection hidden="1"/>
    </xf>
    <xf numFmtId="1" fontId="12" fillId="2" borderId="36" xfId="2" applyNumberFormat="1" applyFont="1" applyFill="1" applyBorder="1" applyAlignment="1" applyProtection="1">
      <alignment horizontal="center" vertical="center" wrapText="1"/>
      <protection locked="0" hidden="1"/>
    </xf>
    <xf numFmtId="0" fontId="10" fillId="3" borderId="16" xfId="0" applyFont="1" applyFill="1" applyBorder="1" applyAlignment="1" applyProtection="1">
      <alignment horizontal="center"/>
      <protection hidden="1"/>
    </xf>
    <xf numFmtId="0" fontId="0" fillId="0" borderId="0" xfId="0" applyAlignment="1" applyProtection="1">
      <alignment horizontal="left"/>
      <protection locked="0" hidden="1"/>
    </xf>
    <xf numFmtId="9" fontId="12" fillId="0" borderId="8" xfId="0" applyNumberFormat="1" applyFont="1" applyFill="1" applyBorder="1" applyAlignment="1" applyProtection="1">
      <alignment horizontal="center" vertical="center" wrapText="1"/>
      <protection locked="0" hidden="1"/>
    </xf>
    <xf numFmtId="0" fontId="12" fillId="3" borderId="6" xfId="0" applyFont="1" applyFill="1" applyBorder="1" applyAlignment="1" applyProtection="1">
      <alignment horizontal="center" vertical="center"/>
      <protection locked="0" hidden="1"/>
    </xf>
    <xf numFmtId="1" fontId="12" fillId="0" borderId="10" xfId="2" applyNumberFormat="1" applyFont="1" applyFill="1" applyBorder="1" applyAlignment="1" applyProtection="1">
      <alignment horizontal="center" vertical="center" wrapText="1"/>
      <protection locked="0" hidden="1"/>
    </xf>
    <xf numFmtId="1" fontId="0" fillId="4" borderId="6" xfId="0" applyNumberFormat="1" applyFill="1" applyBorder="1" applyProtection="1">
      <protection locked="0" hidden="1"/>
    </xf>
    <xf numFmtId="0" fontId="12" fillId="0" borderId="7" xfId="0" applyFont="1" applyFill="1" applyBorder="1" applyAlignment="1" applyProtection="1">
      <alignment horizontal="center" vertical="center" wrapText="1"/>
      <protection locked="0" hidden="1"/>
    </xf>
    <xf numFmtId="0" fontId="12" fillId="0" borderId="8" xfId="0" applyFont="1" applyFill="1" applyBorder="1" applyAlignment="1" applyProtection="1">
      <alignment horizontal="center" vertical="center" wrapText="1"/>
      <protection locked="0" hidden="1"/>
    </xf>
    <xf numFmtId="0" fontId="12" fillId="0" borderId="10" xfId="0" applyFont="1" applyFill="1" applyBorder="1" applyAlignment="1" applyProtection="1">
      <alignment horizontal="center" vertical="center" wrapText="1"/>
      <protection locked="0" hidden="1"/>
    </xf>
    <xf numFmtId="10" fontId="12" fillId="0" borderId="36" xfId="2" applyNumberFormat="1" applyFont="1" applyFill="1" applyBorder="1" applyAlignment="1" applyProtection="1">
      <alignment horizontal="center" vertical="center" wrapText="1"/>
      <protection locked="0" hidden="1"/>
    </xf>
    <xf numFmtId="0" fontId="12" fillId="0" borderId="12" xfId="0" applyFont="1" applyFill="1" applyBorder="1" applyAlignment="1" applyProtection="1">
      <alignment horizontal="center" vertical="center" wrapText="1"/>
      <protection locked="0" hidden="1"/>
    </xf>
    <xf numFmtId="10" fontId="12" fillId="0" borderId="12" xfId="2" applyNumberFormat="1" applyFont="1" applyFill="1" applyBorder="1" applyAlignment="1" applyProtection="1">
      <alignment horizontal="center" vertical="center" wrapText="1"/>
      <protection locked="0" hidden="1"/>
    </xf>
    <xf numFmtId="0" fontId="12" fillId="4" borderId="6" xfId="0" applyFont="1" applyFill="1" applyBorder="1" applyAlignment="1" applyProtection="1">
      <alignment horizontal="center" vertical="center" wrapText="1"/>
      <protection locked="0" hidden="1"/>
    </xf>
    <xf numFmtId="0" fontId="0" fillId="0" borderId="6" xfId="0" applyFill="1" applyBorder="1" applyProtection="1">
      <protection locked="0" hidden="1"/>
    </xf>
    <xf numFmtId="0" fontId="11" fillId="0" borderId="6" xfId="0" applyFont="1" applyFill="1" applyBorder="1" applyAlignment="1" applyProtection="1">
      <alignment horizontal="center" vertical="center"/>
      <protection locked="0" hidden="1"/>
    </xf>
    <xf numFmtId="10" fontId="6" fillId="0" borderId="7" xfId="2" applyNumberFormat="1" applyFont="1" applyFill="1" applyBorder="1" applyProtection="1">
      <protection locked="0" hidden="1"/>
    </xf>
    <xf numFmtId="0" fontId="12" fillId="0" borderId="7" xfId="0" applyFont="1" applyFill="1" applyBorder="1" applyAlignment="1" applyProtection="1">
      <alignment horizontal="center" vertical="center"/>
      <protection locked="0" hidden="1"/>
    </xf>
    <xf numFmtId="10" fontId="6" fillId="0" borderId="10" xfId="2" applyNumberFormat="1" applyFont="1" applyFill="1" applyBorder="1" applyProtection="1">
      <protection locked="0" hidden="1"/>
    </xf>
    <xf numFmtId="0" fontId="12" fillId="0" borderId="10" xfId="0" applyFont="1" applyFill="1" applyBorder="1" applyAlignment="1" applyProtection="1">
      <alignment horizontal="center" vertical="center"/>
      <protection locked="0" hidden="1"/>
    </xf>
    <xf numFmtId="1" fontId="13" fillId="0" borderId="33" xfId="0" applyNumberFormat="1" applyFont="1" applyFill="1" applyBorder="1" applyAlignment="1" applyProtection="1">
      <alignment horizontal="center" vertical="center" wrapText="1"/>
      <protection locked="0" hidden="1"/>
    </xf>
    <xf numFmtId="1" fontId="12" fillId="0" borderId="8" xfId="0" applyNumberFormat="1" applyFont="1" applyFill="1" applyBorder="1" applyAlignment="1" applyProtection="1">
      <alignment horizontal="center" vertical="center"/>
      <protection locked="0" hidden="1"/>
    </xf>
    <xf numFmtId="2" fontId="10" fillId="3" borderId="8" xfId="0" applyNumberFormat="1" applyFont="1" applyFill="1" applyBorder="1" applyAlignment="1" applyProtection="1">
      <alignment vertical="center" wrapText="1"/>
      <protection locked="0" hidden="1"/>
    </xf>
    <xf numFmtId="0" fontId="12" fillId="0" borderId="10" xfId="0" applyFont="1" applyBorder="1" applyAlignment="1" applyProtection="1">
      <alignment vertical="center" wrapText="1"/>
      <protection locked="0" hidden="1"/>
    </xf>
    <xf numFmtId="2" fontId="12" fillId="3" borderId="6" xfId="0" applyNumberFormat="1" applyFont="1" applyFill="1" applyBorder="1" applyAlignment="1" applyProtection="1">
      <alignment horizontal="center"/>
      <protection locked="0" hidden="1"/>
    </xf>
    <xf numFmtId="0" fontId="12" fillId="3" borderId="6" xfId="0" applyFont="1" applyFill="1" applyBorder="1" applyAlignment="1" applyProtection="1">
      <alignment horizontal="center" vertical="center" wrapText="1"/>
      <protection locked="0" hidden="1"/>
    </xf>
    <xf numFmtId="0" fontId="12" fillId="3" borderId="7" xfId="0" applyFont="1" applyFill="1" applyBorder="1" applyAlignment="1" applyProtection="1">
      <alignment horizontal="center" vertical="center"/>
      <protection locked="0" hidden="1"/>
    </xf>
    <xf numFmtId="10" fontId="12" fillId="0" borderId="7" xfId="2" applyNumberFormat="1" applyFont="1" applyFill="1" applyBorder="1" applyAlignment="1" applyProtection="1">
      <alignment horizontal="center" vertical="center" wrapText="1"/>
      <protection locked="0" hidden="1"/>
    </xf>
    <xf numFmtId="1" fontId="12" fillId="0" borderId="8" xfId="0" applyNumberFormat="1" applyFont="1" applyBorder="1" applyAlignment="1" applyProtection="1">
      <alignment horizontal="center" vertical="center"/>
      <protection locked="0" hidden="1"/>
    </xf>
    <xf numFmtId="0" fontId="12" fillId="3" borderId="12" xfId="0" applyFont="1" applyFill="1" applyBorder="1" applyAlignment="1" applyProtection="1">
      <alignment horizontal="center" vertical="center" wrapText="1"/>
      <protection locked="0" hidden="1"/>
    </xf>
    <xf numFmtId="2" fontId="18" fillId="3" borderId="6" xfId="0" applyNumberFormat="1" applyFont="1" applyFill="1" applyBorder="1" applyAlignment="1" applyProtection="1">
      <alignment vertical="center" wrapText="1"/>
      <protection locked="0" hidden="1"/>
    </xf>
    <xf numFmtId="1" fontId="12" fillId="0" borderId="36" xfId="0" applyNumberFormat="1" applyFont="1" applyFill="1" applyBorder="1" applyAlignment="1" applyProtection="1">
      <alignment vertical="center" wrapText="1"/>
      <protection locked="0" hidden="1"/>
    </xf>
    <xf numFmtId="0" fontId="12" fillId="0" borderId="12" xfId="0" applyFont="1" applyFill="1" applyBorder="1" applyAlignment="1" applyProtection="1">
      <alignment vertical="center" wrapText="1"/>
      <protection locked="0" hidden="1"/>
    </xf>
    <xf numFmtId="1" fontId="12" fillId="0" borderId="12" xfId="0" applyNumberFormat="1" applyFont="1" applyFill="1" applyBorder="1" applyAlignment="1" applyProtection="1">
      <alignment vertical="center" wrapText="1"/>
      <protection locked="0" hidden="1"/>
    </xf>
    <xf numFmtId="1" fontId="12" fillId="0" borderId="36" xfId="2" applyNumberFormat="1" applyFont="1" applyFill="1" applyBorder="1" applyAlignment="1" applyProtection="1">
      <alignment vertical="center" wrapText="1"/>
      <protection locked="0" hidden="1"/>
    </xf>
    <xf numFmtId="1" fontId="12" fillId="0" borderId="12" xfId="2" applyNumberFormat="1" applyFont="1" applyFill="1" applyBorder="1" applyAlignment="1" applyProtection="1">
      <alignment vertical="center" wrapText="1"/>
      <protection locked="0" hidden="1"/>
    </xf>
    <xf numFmtId="1" fontId="12" fillId="3" borderId="6" xfId="0" applyNumberFormat="1" applyFont="1" applyFill="1" applyBorder="1" applyAlignment="1" applyProtection="1">
      <alignment vertical="center" wrapText="1"/>
      <protection locked="0" hidden="1"/>
    </xf>
    <xf numFmtId="1" fontId="10" fillId="0" borderId="7" xfId="0" applyNumberFormat="1" applyFont="1" applyBorder="1" applyAlignment="1" applyProtection="1">
      <alignment horizontal="right"/>
      <protection locked="0" hidden="1"/>
    </xf>
    <xf numFmtId="0" fontId="12" fillId="0" borderId="6" xfId="0" applyFont="1" applyBorder="1" applyAlignment="1" applyProtection="1">
      <alignment horizontal="right" vertical="center" wrapText="1"/>
      <protection locked="0" hidden="1"/>
    </xf>
    <xf numFmtId="0" fontId="12" fillId="0" borderId="7" xfId="0" applyFont="1" applyBorder="1" applyAlignment="1" applyProtection="1">
      <alignment horizontal="right"/>
      <protection locked="0" hidden="1"/>
    </xf>
    <xf numFmtId="0" fontId="12" fillId="0" borderId="33" xfId="0" applyFont="1" applyFill="1" applyBorder="1" applyAlignment="1" applyProtection="1">
      <alignment horizontal="right"/>
      <protection locked="0" hidden="1"/>
    </xf>
    <xf numFmtId="10" fontId="6" fillId="0" borderId="8" xfId="2" applyNumberFormat="1" applyFont="1" applyFill="1" applyBorder="1" applyProtection="1">
      <protection locked="0" hidden="1"/>
    </xf>
    <xf numFmtId="0" fontId="12" fillId="0" borderId="8" xfId="0" applyFont="1" applyFill="1" applyBorder="1" applyAlignment="1" applyProtection="1">
      <alignment horizontal="center" vertical="center"/>
      <protection locked="0" hidden="1"/>
    </xf>
    <xf numFmtId="1" fontId="12" fillId="3" borderId="6" xfId="0" applyNumberFormat="1" applyFont="1" applyFill="1" applyBorder="1" applyAlignment="1" applyProtection="1">
      <alignment horizontal="center"/>
      <protection locked="0" hidden="1"/>
    </xf>
    <xf numFmtId="1" fontId="10" fillId="3" borderId="7" xfId="0" applyNumberFormat="1" applyFont="1" applyFill="1" applyBorder="1" applyAlignment="1" applyProtection="1">
      <alignment horizontal="right" vertical="center"/>
      <protection locked="0" hidden="1"/>
    </xf>
    <xf numFmtId="10" fontId="12" fillId="0" borderId="11" xfId="2" applyNumberFormat="1" applyFont="1" applyBorder="1" applyAlignment="1" applyProtection="1">
      <alignment vertical="center" wrapText="1"/>
      <protection locked="0" hidden="1"/>
    </xf>
    <xf numFmtId="10" fontId="12" fillId="0" borderId="11" xfId="2" applyNumberFormat="1" applyFont="1" applyFill="1" applyBorder="1" applyAlignment="1" applyProtection="1">
      <alignment horizontal="center" vertical="center" wrapText="1"/>
      <protection locked="0" hidden="1"/>
    </xf>
    <xf numFmtId="2" fontId="12" fillId="3" borderId="7" xfId="0" applyNumberFormat="1" applyFont="1" applyFill="1" applyBorder="1" applyAlignment="1" applyProtection="1">
      <alignment horizontal="center" vertical="center"/>
      <protection locked="0" hidden="1"/>
    </xf>
    <xf numFmtId="1" fontId="12" fillId="3" borderId="7" xfId="0" applyNumberFormat="1" applyFont="1" applyFill="1" applyBorder="1" applyAlignment="1" applyProtection="1">
      <alignment horizontal="center" vertical="center"/>
      <protection locked="0" hidden="1"/>
    </xf>
    <xf numFmtId="1" fontId="12" fillId="0" borderId="10" xfId="2" applyNumberFormat="1" applyFont="1" applyBorder="1" applyAlignment="1" applyProtection="1">
      <alignment horizontal="center" vertical="center" wrapText="1"/>
      <protection locked="0" hidden="1"/>
    </xf>
    <xf numFmtId="1" fontId="12" fillId="0" borderId="7" xfId="0" applyNumberFormat="1" applyFont="1" applyFill="1" applyBorder="1" applyAlignment="1" applyProtection="1">
      <alignment horizontal="center" vertical="center" wrapText="1"/>
      <protection locked="0" hidden="1"/>
    </xf>
    <xf numFmtId="1" fontId="12" fillId="0" borderId="9" xfId="2" applyNumberFormat="1" applyFont="1" applyFill="1" applyBorder="1" applyAlignment="1" applyProtection="1">
      <alignment horizontal="center" vertical="center" wrapText="1"/>
      <protection locked="0" hidden="1"/>
    </xf>
    <xf numFmtId="1" fontId="12" fillId="0" borderId="17" xfId="0" applyNumberFormat="1" applyFont="1" applyFill="1" applyBorder="1" applyAlignment="1" applyProtection="1">
      <alignment vertical="center" wrapText="1"/>
      <protection locked="0" hidden="1"/>
    </xf>
    <xf numFmtId="0" fontId="12" fillId="0" borderId="10" xfId="0" applyFont="1" applyBorder="1" applyAlignment="1" applyProtection="1">
      <alignment horizontal="right"/>
      <protection locked="0" hidden="1"/>
    </xf>
    <xf numFmtId="0" fontId="12" fillId="0" borderId="15" xfId="0" applyFont="1" applyBorder="1" applyAlignment="1" applyProtection="1">
      <alignment horizontal="right"/>
      <protection locked="0" hidden="1"/>
    </xf>
    <xf numFmtId="1" fontId="12" fillId="3" borderId="38" xfId="0" applyNumberFormat="1" applyFont="1" applyFill="1" applyBorder="1" applyAlignment="1" applyProtection="1">
      <alignment horizontal="center" vertical="center" wrapText="1"/>
      <protection hidden="1"/>
    </xf>
    <xf numFmtId="1" fontId="12" fillId="0" borderId="33" xfId="2" applyNumberFormat="1" applyFont="1" applyFill="1" applyBorder="1" applyAlignment="1" applyProtection="1">
      <alignment vertical="center" wrapText="1"/>
      <protection locked="0" hidden="1"/>
    </xf>
    <xf numFmtId="0" fontId="12" fillId="0" borderId="33" xfId="0" applyFont="1" applyFill="1" applyBorder="1" applyAlignment="1" applyProtection="1">
      <alignment horizontal="center" vertical="center" wrapText="1"/>
      <protection locked="0" hidden="1"/>
    </xf>
    <xf numFmtId="10" fontId="12" fillId="2" borderId="47" xfId="0" applyNumberFormat="1" applyFont="1" applyFill="1" applyBorder="1" applyAlignment="1" applyProtection="1">
      <alignment horizontal="center" vertical="center" wrapText="1"/>
      <protection locked="0" hidden="1"/>
    </xf>
    <xf numFmtId="0" fontId="12" fillId="0" borderId="47" xfId="0" applyFont="1" applyFill="1" applyBorder="1" applyAlignment="1" applyProtection="1">
      <alignment vertical="center" wrapText="1"/>
      <protection locked="0" hidden="1"/>
    </xf>
    <xf numFmtId="0" fontId="12" fillId="0" borderId="9" xfId="0" applyFont="1" applyFill="1" applyBorder="1" applyAlignment="1" applyProtection="1">
      <alignment horizontal="center" vertical="center" wrapText="1"/>
      <protection locked="0" hidden="1"/>
    </xf>
    <xf numFmtId="0" fontId="9" fillId="0" borderId="51" xfId="0" applyFont="1" applyFill="1" applyBorder="1" applyAlignment="1" applyProtection="1">
      <alignment horizontal="center" vertical="center"/>
    </xf>
    <xf numFmtId="0" fontId="9" fillId="0" borderId="3" xfId="0" applyFont="1" applyFill="1" applyBorder="1" applyAlignment="1" applyProtection="1">
      <alignment horizontal="left" vertical="center"/>
    </xf>
    <xf numFmtId="0" fontId="9" fillId="0" borderId="4" xfId="0" applyFont="1" applyFill="1" applyBorder="1" applyAlignment="1" applyProtection="1">
      <alignment vertical="center"/>
    </xf>
    <xf numFmtId="0" fontId="12" fillId="0" borderId="26" xfId="0" applyFont="1" applyFill="1" applyBorder="1" applyAlignment="1" applyProtection="1">
      <alignment horizontal="center" vertical="center"/>
    </xf>
    <xf numFmtId="0" fontId="12" fillId="0" borderId="27" xfId="0" applyFont="1" applyFill="1" applyBorder="1" applyAlignment="1" applyProtection="1">
      <alignment vertical="center" wrapText="1"/>
    </xf>
    <xf numFmtId="0" fontId="12" fillId="0" borderId="18" xfId="0" applyFont="1" applyFill="1" applyBorder="1" applyAlignment="1" applyProtection="1">
      <alignment horizontal="right" vertical="center"/>
    </xf>
    <xf numFmtId="0" fontId="12" fillId="0" borderId="40" xfId="0" applyFont="1" applyFill="1" applyBorder="1" applyAlignment="1" applyProtection="1">
      <alignment vertical="center" wrapText="1"/>
    </xf>
    <xf numFmtId="0" fontId="12" fillId="0" borderId="23" xfId="0" applyFont="1" applyFill="1" applyBorder="1" applyAlignment="1" applyProtection="1">
      <alignment horizontal="right" vertical="center"/>
    </xf>
    <xf numFmtId="0" fontId="12" fillId="0" borderId="41" xfId="0" applyFont="1" applyFill="1" applyBorder="1" applyAlignment="1" applyProtection="1">
      <alignment horizontal="center" vertical="center"/>
    </xf>
    <xf numFmtId="0" fontId="12" fillId="0" borderId="40" xfId="0" applyFont="1" applyFill="1" applyBorder="1" applyAlignment="1" applyProtection="1">
      <alignment horizontal="left" vertical="center" wrapText="1"/>
    </xf>
    <xf numFmtId="0" fontId="12" fillId="0" borderId="19" xfId="0" applyFont="1" applyFill="1" applyBorder="1" applyAlignment="1" applyProtection="1">
      <alignment horizontal="right" vertical="center"/>
    </xf>
    <xf numFmtId="0" fontId="12" fillId="0" borderId="35" xfId="0" applyFont="1" applyFill="1" applyBorder="1" applyAlignment="1" applyProtection="1">
      <alignment horizontal="center" vertical="center"/>
    </xf>
    <xf numFmtId="0" fontId="8" fillId="6" borderId="20" xfId="0" applyFont="1" applyFill="1" applyBorder="1" applyAlignment="1" applyProtection="1">
      <alignment horizontal="left" vertical="center" wrapText="1"/>
    </xf>
    <xf numFmtId="0" fontId="12" fillId="0" borderId="42" xfId="0" applyFont="1" applyFill="1" applyBorder="1" applyAlignment="1" applyProtection="1">
      <alignment horizontal="center" vertical="center"/>
    </xf>
    <xf numFmtId="0" fontId="10" fillId="0" borderId="20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right" vertical="center" wrapText="1"/>
    </xf>
    <xf numFmtId="0" fontId="14" fillId="7" borderId="2" xfId="0" applyFont="1" applyFill="1" applyBorder="1" applyAlignment="1" applyProtection="1">
      <alignment horizontal="center" vertical="center"/>
    </xf>
    <xf numFmtId="0" fontId="14" fillId="7" borderId="3" xfId="0" applyFont="1" applyFill="1" applyBorder="1" applyAlignment="1" applyProtection="1">
      <alignment horizontal="left" vertical="center" wrapText="1"/>
    </xf>
    <xf numFmtId="0" fontId="10" fillId="5" borderId="4" xfId="0" applyFont="1" applyFill="1" applyBorder="1" applyAlignment="1" applyProtection="1">
      <alignment horizontal="center" vertical="center"/>
    </xf>
    <xf numFmtId="0" fontId="10" fillId="0" borderId="27" xfId="0" applyFont="1" applyFill="1" applyBorder="1" applyAlignment="1" applyProtection="1">
      <alignment horizontal="left" vertical="center" wrapText="1"/>
    </xf>
    <xf numFmtId="0" fontId="12" fillId="0" borderId="18" xfId="0" applyFont="1" applyFill="1" applyBorder="1" applyAlignment="1" applyProtection="1">
      <alignment horizontal="left" vertical="center" wrapText="1"/>
    </xf>
    <xf numFmtId="0" fontId="12" fillId="0" borderId="19" xfId="0" applyFont="1" applyFill="1" applyBorder="1" applyAlignment="1" applyProtection="1">
      <alignment horizontal="right" vertical="center" wrapText="1"/>
    </xf>
    <xf numFmtId="0" fontId="10" fillId="0" borderId="40" xfId="0" applyFont="1" applyFill="1" applyBorder="1" applyAlignment="1" applyProtection="1">
      <alignment horizontal="left" vertical="center" wrapText="1"/>
    </xf>
    <xf numFmtId="0" fontId="12" fillId="0" borderId="28" xfId="0" applyFont="1" applyFill="1" applyBorder="1" applyAlignment="1" applyProtection="1">
      <alignment horizontal="left" vertical="center" wrapText="1"/>
    </xf>
    <xf numFmtId="0" fontId="12" fillId="0" borderId="21" xfId="0" applyFont="1" applyFill="1" applyBorder="1" applyAlignment="1" applyProtection="1">
      <alignment horizontal="left" vertical="center" wrapText="1"/>
    </xf>
    <xf numFmtId="0" fontId="12" fillId="0" borderId="23" xfId="0" applyFont="1" applyFill="1" applyBorder="1" applyAlignment="1" applyProtection="1">
      <alignment horizontal="right" wrapText="1"/>
    </xf>
    <xf numFmtId="0" fontId="12" fillId="0" borderId="46" xfId="0" applyFont="1" applyFill="1" applyBorder="1" applyAlignment="1" applyProtection="1">
      <alignment horizontal="center" vertical="center"/>
    </xf>
    <xf numFmtId="0" fontId="12" fillId="0" borderId="22" xfId="0" applyFont="1" applyFill="1" applyBorder="1" applyAlignment="1" applyProtection="1">
      <alignment horizontal="right" wrapText="1"/>
    </xf>
    <xf numFmtId="0" fontId="14" fillId="7" borderId="3" xfId="0" applyFont="1" applyFill="1" applyBorder="1" applyAlignment="1" applyProtection="1">
      <alignment horizontal="left" vertical="center"/>
    </xf>
    <xf numFmtId="0" fontId="13" fillId="0" borderId="35" xfId="0" applyFont="1" applyFill="1" applyBorder="1" applyAlignment="1" applyProtection="1">
      <alignment horizontal="right" vertical="center"/>
    </xf>
    <xf numFmtId="0" fontId="13" fillId="0" borderId="27" xfId="0" applyFont="1" applyBorder="1" applyAlignment="1" applyProtection="1">
      <alignment horizontal="left" vertical="center" wrapText="1"/>
    </xf>
    <xf numFmtId="9" fontId="12" fillId="0" borderId="18" xfId="0" applyNumberFormat="1" applyFont="1" applyBorder="1" applyAlignment="1" applyProtection="1">
      <alignment horizontal="left" vertical="center" wrapText="1"/>
    </xf>
    <xf numFmtId="0" fontId="12" fillId="0" borderId="19" xfId="0" applyFont="1" applyFill="1" applyBorder="1" applyAlignment="1" applyProtection="1">
      <alignment horizontal="left" vertical="center" wrapText="1"/>
    </xf>
    <xf numFmtId="0" fontId="12" fillId="0" borderId="55" xfId="0" applyFont="1" applyFill="1" applyBorder="1" applyAlignment="1" applyProtection="1">
      <alignment horizontal="right" vertical="center" wrapText="1"/>
    </xf>
    <xf numFmtId="0" fontId="12" fillId="0" borderId="39" xfId="0" applyFont="1" applyFill="1" applyBorder="1" applyAlignment="1" applyProtection="1">
      <alignment horizontal="center" vertical="center"/>
    </xf>
    <xf numFmtId="0" fontId="12" fillId="0" borderId="22" xfId="0" applyFont="1" applyFill="1" applyBorder="1" applyAlignment="1" applyProtection="1">
      <alignment vertical="center" wrapText="1"/>
    </xf>
    <xf numFmtId="0" fontId="13" fillId="0" borderId="27" xfId="0" applyFont="1" applyFill="1" applyBorder="1" applyAlignment="1" applyProtection="1">
      <alignment horizontal="left" vertical="center" wrapText="1"/>
    </xf>
    <xf numFmtId="0" fontId="0" fillId="0" borderId="25" xfId="0" applyFill="1" applyBorder="1" applyProtection="1"/>
    <xf numFmtId="0" fontId="12" fillId="0" borderId="26" xfId="0" applyFont="1" applyBorder="1" applyAlignment="1" applyProtection="1">
      <alignment horizontal="center" vertical="center"/>
    </xf>
    <xf numFmtId="0" fontId="12" fillId="0" borderId="40" xfId="0" applyFont="1" applyBorder="1" applyAlignment="1" applyProtection="1">
      <alignment vertical="center" wrapText="1"/>
    </xf>
    <xf numFmtId="0" fontId="12" fillId="0" borderId="0" xfId="0" applyFont="1" applyBorder="1" applyAlignment="1" applyProtection="1">
      <alignment horizontal="right" vertical="center" wrapText="1"/>
    </xf>
    <xf numFmtId="0" fontId="12" fillId="0" borderId="21" xfId="0" applyFont="1" applyBorder="1" applyAlignment="1" applyProtection="1">
      <alignment vertical="center" wrapText="1"/>
    </xf>
    <xf numFmtId="0" fontId="12" fillId="0" borderId="10" xfId="0" applyFont="1" applyBorder="1" applyAlignment="1" applyProtection="1">
      <alignment horizontal="right" vertical="center" wrapText="1"/>
    </xf>
    <xf numFmtId="0" fontId="12" fillId="0" borderId="48" xfId="0" applyFont="1" applyBorder="1" applyAlignment="1" applyProtection="1">
      <alignment vertical="center" wrapText="1"/>
    </xf>
    <xf numFmtId="0" fontId="12" fillId="0" borderId="33" xfId="0" applyFont="1" applyBorder="1" applyAlignment="1" applyProtection="1">
      <alignment horizontal="right" vertical="center" wrapText="1"/>
    </xf>
    <xf numFmtId="0" fontId="13" fillId="0" borderId="41" xfId="0" applyFont="1" applyFill="1" applyBorder="1" applyAlignment="1" applyProtection="1">
      <alignment horizontal="right" vertical="center"/>
    </xf>
    <xf numFmtId="0" fontId="13" fillId="0" borderId="30" xfId="0" applyFont="1" applyFill="1" applyBorder="1" applyAlignment="1" applyProtection="1">
      <alignment horizontal="left" vertical="center" wrapText="1"/>
    </xf>
    <xf numFmtId="0" fontId="13" fillId="0" borderId="21" xfId="0" applyFont="1" applyBorder="1" applyAlignment="1" applyProtection="1">
      <alignment horizontal="left" wrapText="1"/>
    </xf>
    <xf numFmtId="0" fontId="14" fillId="7" borderId="51" xfId="0" applyFont="1" applyFill="1" applyBorder="1" applyAlignment="1" applyProtection="1">
      <alignment horizontal="center" vertical="center"/>
    </xf>
    <xf numFmtId="0" fontId="10" fillId="0" borderId="30" xfId="0" applyFont="1" applyFill="1" applyBorder="1" applyAlignment="1" applyProtection="1">
      <alignment horizontal="left" vertical="center" wrapText="1"/>
    </xf>
    <xf numFmtId="0" fontId="12" fillId="0" borderId="1" xfId="0" applyFont="1" applyFill="1" applyBorder="1" applyAlignment="1" applyProtection="1">
      <alignment horizontal="left" vertical="center" wrapText="1"/>
    </xf>
    <xf numFmtId="0" fontId="10" fillId="3" borderId="54" xfId="0" applyFont="1" applyFill="1" applyBorder="1" applyAlignment="1" applyProtection="1">
      <alignment horizontal="left" vertical="center" wrapText="1"/>
    </xf>
    <xf numFmtId="0" fontId="12" fillId="0" borderId="34" xfId="0" applyFont="1" applyFill="1" applyBorder="1" applyAlignment="1" applyProtection="1">
      <alignment horizontal="left" vertical="center" wrapText="1"/>
    </xf>
    <xf numFmtId="0" fontId="19" fillId="9" borderId="31" xfId="0" applyFont="1" applyFill="1" applyBorder="1" applyAlignment="1" applyProtection="1">
      <alignment horizontal="left" vertical="center" wrapText="1"/>
    </xf>
    <xf numFmtId="0" fontId="12" fillId="0" borderId="24" xfId="0" applyFont="1" applyFill="1" applyBorder="1" applyAlignment="1" applyProtection="1">
      <alignment horizontal="right" vertical="center" wrapText="1"/>
    </xf>
    <xf numFmtId="0" fontId="12" fillId="0" borderId="54" xfId="0" applyFont="1" applyFill="1" applyBorder="1" applyAlignment="1" applyProtection="1">
      <alignment horizontal="left" vertical="center" wrapText="1"/>
    </xf>
    <xf numFmtId="0" fontId="12" fillId="0" borderId="23" xfId="0" applyFont="1" applyFill="1" applyBorder="1" applyAlignment="1" applyProtection="1">
      <alignment horizontal="right" vertical="center" wrapText="1"/>
    </xf>
    <xf numFmtId="0" fontId="10" fillId="0" borderId="54" xfId="0" applyFont="1" applyFill="1" applyBorder="1" applyAlignment="1" applyProtection="1">
      <alignment horizontal="left" vertical="center" wrapText="1"/>
    </xf>
    <xf numFmtId="0" fontId="12" fillId="0" borderId="23" xfId="0" applyFont="1" applyFill="1" applyBorder="1" applyAlignment="1" applyProtection="1">
      <alignment horizontal="left" vertical="center" wrapText="1"/>
    </xf>
    <xf numFmtId="0" fontId="12" fillId="0" borderId="52" xfId="0" applyFont="1" applyFill="1" applyBorder="1" applyAlignment="1" applyProtection="1">
      <alignment horizontal="center" vertical="center"/>
    </xf>
    <xf numFmtId="0" fontId="12" fillId="0" borderId="57" xfId="0" applyFont="1" applyFill="1" applyBorder="1" applyAlignment="1" applyProtection="1">
      <alignment horizontal="left" vertical="center" wrapText="1"/>
    </xf>
    <xf numFmtId="0" fontId="12" fillId="0" borderId="58" xfId="0" applyFont="1" applyFill="1" applyBorder="1" applyAlignment="1" applyProtection="1">
      <alignment horizontal="right" vertical="center" wrapText="1"/>
    </xf>
    <xf numFmtId="0" fontId="14" fillId="7" borderId="42" xfId="0" applyFont="1" applyFill="1" applyBorder="1" applyAlignment="1" applyProtection="1">
      <alignment horizontal="center" vertical="center"/>
    </xf>
    <xf numFmtId="0" fontId="14" fillId="7" borderId="48" xfId="0" applyFont="1" applyFill="1" applyBorder="1" applyAlignment="1" applyProtection="1">
      <alignment horizontal="left" vertical="center" wrapText="1"/>
    </xf>
    <xf numFmtId="0" fontId="10" fillId="5" borderId="56" xfId="0" applyFont="1" applyFill="1" applyBorder="1" applyAlignment="1" applyProtection="1">
      <alignment horizontal="center" vertical="center"/>
    </xf>
    <xf numFmtId="0" fontId="13" fillId="0" borderId="40" xfId="0" applyFont="1" applyFill="1" applyBorder="1" applyAlignment="1" applyProtection="1">
      <alignment horizontal="left" vertical="center" wrapText="1"/>
    </xf>
    <xf numFmtId="0" fontId="12" fillId="0" borderId="28" xfId="0" applyFont="1" applyFill="1" applyBorder="1" applyAlignment="1" applyProtection="1">
      <alignment horizontal="right" vertical="center"/>
    </xf>
    <xf numFmtId="0" fontId="12" fillId="0" borderId="40" xfId="0" applyFont="1" applyFill="1" applyBorder="1" applyAlignment="1" applyProtection="1">
      <alignment horizontal="right" vertical="center" wrapText="1"/>
    </xf>
    <xf numFmtId="0" fontId="13" fillId="0" borderId="30" xfId="0" applyFont="1" applyBorder="1" applyAlignment="1" applyProtection="1">
      <alignment horizontal="left" wrapText="1"/>
    </xf>
    <xf numFmtId="0" fontId="12" fillId="0" borderId="25" xfId="0" applyFont="1" applyBorder="1" applyAlignment="1" applyProtection="1">
      <alignment horizontal="right" wrapText="1"/>
    </xf>
    <xf numFmtId="0" fontId="12" fillId="0" borderId="54" xfId="0" applyFont="1" applyBorder="1" applyAlignment="1" applyProtection="1">
      <alignment horizontal="right" wrapText="1"/>
    </xf>
    <xf numFmtId="0" fontId="12" fillId="0" borderId="29" xfId="0" applyFont="1" applyBorder="1" applyAlignment="1" applyProtection="1">
      <alignment horizontal="right" wrapText="1"/>
    </xf>
    <xf numFmtId="0" fontId="12" fillId="0" borderId="54" xfId="0" applyFont="1" applyBorder="1" applyAlignment="1" applyProtection="1">
      <alignment horizontal="left" wrapText="1"/>
    </xf>
    <xf numFmtId="0" fontId="12" fillId="0" borderId="53" xfId="0" applyFont="1" applyBorder="1" applyAlignment="1" applyProtection="1">
      <alignment horizontal="right" wrapText="1"/>
    </xf>
    <xf numFmtId="0" fontId="12" fillId="0" borderId="0" xfId="0" applyFont="1" applyBorder="1" applyAlignment="1" applyProtection="1">
      <alignment horizontal="right" wrapText="1"/>
    </xf>
    <xf numFmtId="0" fontId="14" fillId="0" borderId="42" xfId="0" applyFont="1" applyFill="1" applyBorder="1" applyAlignment="1" applyProtection="1">
      <alignment horizontal="center" vertical="center"/>
    </xf>
    <xf numFmtId="0" fontId="14" fillId="0" borderId="4" xfId="0" applyFont="1" applyBorder="1" applyAlignment="1" applyProtection="1">
      <alignment wrapText="1"/>
    </xf>
    <xf numFmtId="0" fontId="12" fillId="0" borderId="30" xfId="0" applyFont="1" applyBorder="1" applyAlignment="1" applyProtection="1">
      <alignment horizontal="left" wrapText="1"/>
    </xf>
    <xf numFmtId="0" fontId="12" fillId="0" borderId="32" xfId="0" applyFont="1" applyBorder="1" applyAlignment="1" applyProtection="1">
      <alignment horizontal="left" wrapText="1"/>
    </xf>
    <xf numFmtId="0" fontId="12" fillId="0" borderId="43" xfId="0" applyFont="1" applyFill="1" applyBorder="1" applyAlignment="1" applyProtection="1">
      <alignment horizontal="right" wrapText="1"/>
    </xf>
    <xf numFmtId="2" fontId="12" fillId="2" borderId="12" xfId="0" applyNumberFormat="1" applyFont="1" applyFill="1" applyBorder="1" applyAlignment="1" applyProtection="1">
      <alignment horizontal="center" vertical="center" wrapText="1"/>
      <protection locked="0" hidden="1"/>
    </xf>
    <xf numFmtId="2" fontId="10" fillId="3" borderId="36" xfId="2" applyNumberFormat="1" applyFont="1" applyFill="1" applyBorder="1" applyAlignment="1" applyProtection="1">
      <alignment horizontal="center" vertical="center" wrapText="1"/>
      <protection hidden="1"/>
    </xf>
    <xf numFmtId="0" fontId="12" fillId="0" borderId="37" xfId="0" applyFont="1" applyBorder="1" applyAlignment="1" applyProtection="1">
      <alignment horizontal="right" vertical="center" wrapText="1"/>
    </xf>
    <xf numFmtId="2" fontId="12" fillId="3" borderId="12" xfId="0" applyNumberFormat="1" applyFont="1" applyFill="1" applyBorder="1" applyAlignment="1" applyProtection="1">
      <alignment horizontal="center" vertical="center" wrapText="1"/>
      <protection locked="0" hidden="1"/>
    </xf>
    <xf numFmtId="0" fontId="18" fillId="0" borderId="11" xfId="0" applyFont="1" applyBorder="1" applyAlignment="1" applyProtection="1">
      <alignment horizontal="right"/>
    </xf>
    <xf numFmtId="0" fontId="8" fillId="2" borderId="1" xfId="0" applyFont="1" applyFill="1" applyBorder="1" applyAlignment="1" applyProtection="1">
      <alignment horizontal="right" vertical="center" wrapText="1"/>
      <protection locked="0"/>
    </xf>
    <xf numFmtId="0" fontId="8" fillId="2" borderId="20" xfId="0" applyFont="1" applyFill="1" applyBorder="1" applyAlignment="1" applyProtection="1">
      <alignment horizontal="left" vertical="center" wrapText="1"/>
      <protection locked="0"/>
    </xf>
    <xf numFmtId="0" fontId="8" fillId="6" borderId="1" xfId="0" applyFont="1" applyFill="1" applyBorder="1" applyAlignment="1" applyProtection="1">
      <alignment horizontal="center" vertical="center" wrapText="1"/>
    </xf>
    <xf numFmtId="10" fontId="10" fillId="3" borderId="36" xfId="0" applyNumberFormat="1" applyFont="1" applyFill="1" applyBorder="1" applyAlignment="1" applyProtection="1">
      <alignment horizontal="center" vertical="center" wrapText="1"/>
      <protection hidden="1"/>
    </xf>
    <xf numFmtId="0" fontId="10" fillId="2" borderId="16" xfId="0" applyFont="1" applyFill="1" applyBorder="1" applyAlignment="1" applyProtection="1">
      <alignment horizontal="center" vertical="center"/>
      <protection locked="0"/>
    </xf>
    <xf numFmtId="1" fontId="16" fillId="3" borderId="45" xfId="0" applyNumberFormat="1" applyFont="1" applyFill="1" applyBorder="1" applyAlignment="1" applyProtection="1">
      <alignment horizontal="center" vertical="center" wrapText="1"/>
      <protection hidden="1"/>
    </xf>
    <xf numFmtId="1" fontId="16" fillId="3" borderId="38" xfId="0" applyNumberFormat="1" applyFont="1" applyFill="1" applyBorder="1" applyAlignment="1" applyProtection="1">
      <alignment horizontal="center" vertical="center" wrapText="1"/>
      <protection hidden="1"/>
    </xf>
    <xf numFmtId="1" fontId="13" fillId="3" borderId="45" xfId="0" applyNumberFormat="1" applyFont="1" applyFill="1" applyBorder="1" applyAlignment="1" applyProtection="1">
      <alignment horizontal="center" vertical="center" wrapText="1"/>
      <protection locked="0" hidden="1"/>
    </xf>
    <xf numFmtId="1" fontId="13" fillId="3" borderId="38" xfId="0" applyNumberFormat="1" applyFont="1" applyFill="1" applyBorder="1" applyAlignment="1" applyProtection="1">
      <alignment horizontal="center" vertical="center" wrapText="1"/>
      <protection locked="0" hidden="1"/>
    </xf>
    <xf numFmtId="0" fontId="10" fillId="11" borderId="0" xfId="0" applyFont="1" applyFill="1" applyAlignment="1">
      <alignment horizontal="center"/>
    </xf>
    <xf numFmtId="0" fontId="10" fillId="3" borderId="49" xfId="0" applyFont="1" applyFill="1" applyBorder="1" applyAlignment="1">
      <alignment horizontal="center"/>
    </xf>
    <xf numFmtId="0" fontId="10" fillId="3" borderId="50" xfId="0" applyFont="1" applyFill="1" applyBorder="1" applyAlignment="1">
      <alignment horizontal="center"/>
    </xf>
    <xf numFmtId="0" fontId="10" fillId="3" borderId="6" xfId="0" applyFont="1" applyFill="1" applyBorder="1" applyAlignment="1">
      <alignment horizontal="center"/>
    </xf>
    <xf numFmtId="0" fontId="10" fillId="12" borderId="49" xfId="0" applyFont="1" applyFill="1" applyBorder="1" applyAlignment="1">
      <alignment horizontal="center"/>
    </xf>
    <xf numFmtId="0" fontId="10" fillId="12" borderId="50" xfId="0" applyFont="1" applyFill="1" applyBorder="1" applyAlignment="1">
      <alignment horizontal="center"/>
    </xf>
    <xf numFmtId="0" fontId="10" fillId="12" borderId="6" xfId="0" applyFont="1" applyFill="1" applyBorder="1" applyAlignment="1">
      <alignment horizontal="center"/>
    </xf>
    <xf numFmtId="2" fontId="4" fillId="3" borderId="49" xfId="0" applyNumberFormat="1" applyFont="1" applyFill="1" applyBorder="1" applyAlignment="1">
      <alignment horizontal="center"/>
    </xf>
    <xf numFmtId="2" fontId="4" fillId="3" borderId="50" xfId="0" applyNumberFormat="1" applyFont="1" applyFill="1" applyBorder="1" applyAlignment="1">
      <alignment horizontal="center"/>
    </xf>
    <xf numFmtId="2" fontId="4" fillId="3" borderId="6" xfId="0" applyNumberFormat="1" applyFont="1" applyFill="1" applyBorder="1" applyAlignment="1">
      <alignment horizontal="center"/>
    </xf>
    <xf numFmtId="2" fontId="4" fillId="12" borderId="49" xfId="0" applyNumberFormat="1" applyFont="1" applyFill="1" applyBorder="1" applyAlignment="1">
      <alignment horizontal="center"/>
    </xf>
    <xf numFmtId="2" fontId="4" fillId="12" borderId="50" xfId="0" applyNumberFormat="1" applyFont="1" applyFill="1" applyBorder="1" applyAlignment="1">
      <alignment horizontal="center"/>
    </xf>
    <xf numFmtId="2" fontId="4" fillId="12" borderId="6" xfId="0" applyNumberFormat="1" applyFont="1" applyFill="1" applyBorder="1" applyAlignment="1">
      <alignment horizontal="center"/>
    </xf>
    <xf numFmtId="0" fontId="10" fillId="15" borderId="49" xfId="0" applyFont="1" applyFill="1" applyBorder="1" applyAlignment="1">
      <alignment horizontal="center"/>
    </xf>
    <xf numFmtId="0" fontId="10" fillId="15" borderId="50" xfId="0" applyFont="1" applyFill="1" applyBorder="1" applyAlignment="1">
      <alignment horizontal="center"/>
    </xf>
    <xf numFmtId="0" fontId="10" fillId="15" borderId="6" xfId="0" applyFont="1" applyFill="1" applyBorder="1" applyAlignment="1">
      <alignment horizontal="center"/>
    </xf>
    <xf numFmtId="2" fontId="4" fillId="15" borderId="49" xfId="0" applyNumberFormat="1" applyFont="1" applyFill="1" applyBorder="1" applyAlignment="1">
      <alignment horizontal="center"/>
    </xf>
    <xf numFmtId="2" fontId="4" fillId="15" borderId="50" xfId="0" applyNumberFormat="1" applyFont="1" applyFill="1" applyBorder="1" applyAlignment="1">
      <alignment horizontal="center"/>
    </xf>
    <xf numFmtId="2" fontId="4" fillId="15" borderId="6" xfId="0" applyNumberFormat="1" applyFont="1" applyFill="1" applyBorder="1" applyAlignment="1">
      <alignment horizontal="center"/>
    </xf>
    <xf numFmtId="0" fontId="10" fillId="13" borderId="49" xfId="0" applyFont="1" applyFill="1" applyBorder="1" applyAlignment="1">
      <alignment horizontal="center"/>
    </xf>
    <xf numFmtId="0" fontId="10" fillId="13" borderId="50" xfId="0" applyFont="1" applyFill="1" applyBorder="1" applyAlignment="1">
      <alignment horizontal="center"/>
    </xf>
    <xf numFmtId="0" fontId="10" fillId="13" borderId="6" xfId="0" applyFont="1" applyFill="1" applyBorder="1" applyAlignment="1">
      <alignment horizontal="center"/>
    </xf>
    <xf numFmtId="0" fontId="10" fillId="14" borderId="49" xfId="0" applyFont="1" applyFill="1" applyBorder="1" applyAlignment="1">
      <alignment horizontal="center"/>
    </xf>
    <xf numFmtId="0" fontId="10" fillId="14" borderId="50" xfId="0" applyFont="1" applyFill="1" applyBorder="1" applyAlignment="1">
      <alignment horizontal="center"/>
    </xf>
    <xf numFmtId="0" fontId="10" fillId="14" borderId="6" xfId="0" applyFont="1" applyFill="1" applyBorder="1" applyAlignment="1">
      <alignment horizontal="center"/>
    </xf>
    <xf numFmtId="2" fontId="4" fillId="13" borderId="49" xfId="0" applyNumberFormat="1" applyFont="1" applyFill="1" applyBorder="1" applyAlignment="1">
      <alignment horizontal="center"/>
    </xf>
    <xf numFmtId="2" fontId="4" fillId="13" borderId="50" xfId="0" applyNumberFormat="1" applyFont="1" applyFill="1" applyBorder="1" applyAlignment="1">
      <alignment horizontal="center"/>
    </xf>
    <xf numFmtId="2" fontId="4" fillId="13" borderId="6" xfId="0" applyNumberFormat="1" applyFont="1" applyFill="1" applyBorder="1" applyAlignment="1">
      <alignment horizontal="center"/>
    </xf>
    <xf numFmtId="2" fontId="4" fillId="14" borderId="49" xfId="0" applyNumberFormat="1" applyFont="1" applyFill="1" applyBorder="1" applyAlignment="1">
      <alignment horizontal="center"/>
    </xf>
    <xf numFmtId="2" fontId="4" fillId="14" borderId="50" xfId="0" applyNumberFormat="1" applyFont="1" applyFill="1" applyBorder="1" applyAlignment="1">
      <alignment horizontal="center"/>
    </xf>
    <xf numFmtId="2" fontId="4" fillId="14" borderId="6" xfId="0" applyNumberFormat="1" applyFont="1" applyFill="1" applyBorder="1" applyAlignment="1">
      <alignment horizontal="center"/>
    </xf>
  </cellXfs>
  <cellStyles count="3">
    <cellStyle name="normálne" xfId="0" builtinId="0"/>
    <cellStyle name="normálne 2" xfId="1"/>
    <cellStyle name="percentá" xfId="2" builtinId="5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Lines="5" dropStyle="combo" dx="16" fmlaLink="$F$57" fmlaRange="$C$72:$C$76" val="0"/>
</file>

<file path=xl/ctrlProps/ctrlProp2.xml><?xml version="1.0" encoding="utf-8"?>
<formControlPr xmlns="http://schemas.microsoft.com/office/spreadsheetml/2009/9/main" objectType="Drop" dropLines="5" dropStyle="combo" dx="16" fmlaLink="$F$58" fmlaRange="$C$72:$C$76" sel="2" val="0"/>
</file>

<file path=xl/ctrlProps/ctrlProp3.xml><?xml version="1.0" encoding="utf-8"?>
<formControlPr xmlns="http://schemas.microsoft.com/office/spreadsheetml/2009/9/main" objectType="Drop" dropLines="5" dropStyle="combo" dx="16" fmlaLink="$F$59" fmlaRange="$C$72:$C$76" val="0"/>
</file>

<file path=xl/ctrlProps/ctrlProp4.xml><?xml version="1.0" encoding="utf-8"?>
<formControlPr xmlns="http://schemas.microsoft.com/office/spreadsheetml/2009/9/main" objectType="Drop" dropLines="2" dropStyle="combo" dx="16" fmlaLink="$F$26" fmlaRange="$F$66:$F$67" val="0"/>
</file>

<file path=xl/ctrlProps/ctrlProp5.xml><?xml version="1.0" encoding="utf-8"?>
<formControlPr xmlns="http://schemas.microsoft.com/office/spreadsheetml/2009/9/main" objectType="Drop" dropLines="2" dropStyle="combo" dx="16" fmlaLink="$F$23" fmlaRange="$F$66:$F$67" val="0"/>
</file>

<file path=xl/ctrlProps/ctrlProp6.xml><?xml version="1.0" encoding="utf-8"?>
<formControlPr xmlns="http://schemas.microsoft.com/office/spreadsheetml/2009/9/main" objectType="Drop" dropLines="2" dropStyle="combo" dx="16" fmlaLink="$F$22" fmlaRange="$F$66:$F$67" val="0"/>
</file>

<file path=xl/ctrlProps/ctrlProp7.xml><?xml version="1.0" encoding="utf-8"?>
<formControlPr xmlns="http://schemas.microsoft.com/office/spreadsheetml/2009/9/main" objectType="Drop" dropLines="2" dropStyle="combo" dx="16" fmlaLink="$F$24" fmlaRange="$F$66:$F$67" val="0"/>
</file>

<file path=xl/ctrlProps/ctrlProp8.xml><?xml version="1.0" encoding="utf-8"?>
<formControlPr xmlns="http://schemas.microsoft.com/office/spreadsheetml/2009/9/main" objectType="Drop" dropLines="2" dropStyle="combo" dx="16" fmlaLink="$F$22" fmlaRange="$F$66:$F$67" val="0"/>
</file>

<file path=xl/ctrlProps/ctrlProp9.xml><?xml version="1.0" encoding="utf-8"?>
<formControlPr xmlns="http://schemas.microsoft.com/office/spreadsheetml/2009/9/main" objectType="Drop" dropLines="5" dropStyle="combo" dx="16" fmlaLink="$F$61" fmlaRange="$C$72:$C$76" sel="3" val="0"/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79"/>
  <sheetViews>
    <sheetView tabSelected="1" zoomScale="86" zoomScaleNormal="86" workbookViewId="0">
      <selection activeCell="D1" sqref="D1"/>
    </sheetView>
  </sheetViews>
  <sheetFormatPr defaultRowHeight="15"/>
  <cols>
    <col min="1" max="1" width="9.140625" customWidth="1"/>
    <col min="2" max="2" width="93" style="2" customWidth="1"/>
    <col min="3" max="3" width="23" style="2" customWidth="1"/>
    <col min="4" max="4" width="11.5703125" style="10" customWidth="1"/>
    <col min="5" max="5" width="10.5703125" style="6" hidden="1" customWidth="1"/>
    <col min="6" max="6" width="13.140625" style="7" hidden="1" customWidth="1"/>
    <col min="7" max="18" width="9.140625" hidden="1" customWidth="1"/>
    <col min="19" max="20" width="9.140625" customWidth="1"/>
    <col min="22" max="22" width="0" hidden="1" customWidth="1"/>
  </cols>
  <sheetData>
    <row r="1" spans="1:9" ht="33.75" customHeight="1" thickBot="1">
      <c r="A1" s="3" t="s">
        <v>0</v>
      </c>
      <c r="B1" s="214"/>
      <c r="C1" s="3" t="s">
        <v>179</v>
      </c>
      <c r="D1" s="45"/>
      <c r="E1" s="43"/>
      <c r="F1" s="44"/>
    </row>
    <row r="2" spans="1:9" ht="19.5" thickBot="1">
      <c r="A2" s="125"/>
      <c r="B2" s="126" t="s">
        <v>169</v>
      </c>
      <c r="C2" s="127"/>
      <c r="D2" s="9"/>
      <c r="E2" s="78"/>
      <c r="F2" s="79"/>
    </row>
    <row r="3" spans="1:9" ht="15.75">
      <c r="A3" s="128" t="s">
        <v>2</v>
      </c>
      <c r="B3" s="129" t="s">
        <v>45</v>
      </c>
      <c r="C3" s="130" t="s">
        <v>76</v>
      </c>
      <c r="D3" s="55">
        <v>600</v>
      </c>
      <c r="E3" s="80">
        <f>D3/(D3+D4)</f>
        <v>0.99667774086378735</v>
      </c>
      <c r="F3" s="81"/>
      <c r="G3" s="34" t="s">
        <v>77</v>
      </c>
    </row>
    <row r="4" spans="1:9" ht="15.75">
      <c r="A4" s="128" t="s">
        <v>27</v>
      </c>
      <c r="B4" s="131" t="s">
        <v>175</v>
      </c>
      <c r="C4" s="132" t="s">
        <v>76</v>
      </c>
      <c r="D4" s="56">
        <v>2</v>
      </c>
      <c r="E4" s="82">
        <f>D4/(D3+D4)</f>
        <v>3.3222591362126247E-3</v>
      </c>
      <c r="F4" s="83"/>
      <c r="G4" s="34" t="s">
        <v>78</v>
      </c>
    </row>
    <row r="5" spans="1:9" ht="16.5" thickBot="1">
      <c r="A5" s="133" t="s">
        <v>3</v>
      </c>
      <c r="B5" s="134" t="s">
        <v>170</v>
      </c>
      <c r="C5" s="135" t="s">
        <v>76</v>
      </c>
      <c r="D5" s="57">
        <v>100</v>
      </c>
      <c r="E5" s="105">
        <f>D5/D3</f>
        <v>0.16666666666666666</v>
      </c>
      <c r="F5" s="106"/>
      <c r="G5" s="34" t="s">
        <v>77</v>
      </c>
      <c r="H5" s="34"/>
      <c r="I5" s="34"/>
    </row>
    <row r="6" spans="1:9" ht="39" customHeight="1" thickBot="1">
      <c r="A6" s="136"/>
      <c r="B6" s="137" t="s">
        <v>54</v>
      </c>
      <c r="C6" s="212"/>
      <c r="D6" s="215">
        <f>(E9*C9+C16*D16+C27*D27+C51*D51+C55*D55+C62*D62)</f>
        <v>210.66666666666666</v>
      </c>
      <c r="E6" s="217"/>
      <c r="F6" s="13">
        <v>1</v>
      </c>
      <c r="G6" s="34"/>
      <c r="H6" s="34"/>
      <c r="I6" s="34"/>
    </row>
    <row r="7" spans="1:9" ht="28.5" customHeight="1" thickBot="1">
      <c r="A7" s="138"/>
      <c r="B7" s="211" t="s">
        <v>174</v>
      </c>
      <c r="C7" s="210" t="s">
        <v>173</v>
      </c>
      <c r="D7" s="216"/>
      <c r="E7" s="218"/>
      <c r="F7" s="13"/>
      <c r="G7" s="34"/>
      <c r="H7" s="34"/>
      <c r="I7" s="34"/>
    </row>
    <row r="8" spans="1:9" ht="21" thickBot="1">
      <c r="A8" s="138" t="s">
        <v>4</v>
      </c>
      <c r="B8" s="139" t="s">
        <v>73</v>
      </c>
      <c r="C8" s="140" t="s">
        <v>76</v>
      </c>
      <c r="D8" s="60"/>
      <c r="E8" s="84"/>
      <c r="F8" s="13"/>
      <c r="G8" s="34"/>
      <c r="H8" s="34"/>
      <c r="I8" s="34"/>
    </row>
    <row r="9" spans="1:9" s="1" customFormat="1" ht="17.25" thickBot="1">
      <c r="A9" s="141" t="s">
        <v>1</v>
      </c>
      <c r="B9" s="142" t="s">
        <v>46</v>
      </c>
      <c r="C9" s="143">
        <v>1</v>
      </c>
      <c r="D9" s="33">
        <f>E9</f>
        <v>0</v>
      </c>
      <c r="E9" s="107">
        <f>SUM(E10,E13)</f>
        <v>0</v>
      </c>
      <c r="F9" s="68"/>
      <c r="G9" s="34"/>
      <c r="H9" s="34"/>
      <c r="I9" s="34"/>
    </row>
    <row r="10" spans="1:9" s="1" customFormat="1" ht="15.75">
      <c r="A10" s="136"/>
      <c r="B10" s="144" t="s">
        <v>135</v>
      </c>
      <c r="C10" s="145"/>
      <c r="D10" s="62" t="str">
        <f>IF(E12&lt;&gt;0,D11/E12,"")</f>
        <v/>
      </c>
      <c r="E10" s="108">
        <f>IF(D10="",0,kriteria_GYM!A19)</f>
        <v>0</v>
      </c>
      <c r="F10" s="71"/>
      <c r="G10" s="34" t="s">
        <v>85</v>
      </c>
      <c r="H10" s="34"/>
      <c r="I10" s="34"/>
    </row>
    <row r="11" spans="1:9" s="1" customFormat="1" ht="15.75">
      <c r="A11" s="128" t="s">
        <v>7</v>
      </c>
      <c r="B11" s="134" t="s">
        <v>117</v>
      </c>
      <c r="C11" s="146" t="s">
        <v>76</v>
      </c>
      <c r="D11" s="46">
        <v>0</v>
      </c>
      <c r="E11" s="85"/>
      <c r="F11" s="72"/>
      <c r="G11" s="34"/>
      <c r="H11" s="34"/>
      <c r="I11" s="34"/>
    </row>
    <row r="12" spans="1:9" s="1" customFormat="1" ht="15.75">
      <c r="A12" s="128" t="s">
        <v>8</v>
      </c>
      <c r="B12" s="134" t="s">
        <v>146</v>
      </c>
      <c r="C12" s="146" t="s">
        <v>76</v>
      </c>
      <c r="D12" s="46">
        <v>0</v>
      </c>
      <c r="E12" s="85">
        <f>D12*30</f>
        <v>0</v>
      </c>
      <c r="F12" s="72"/>
      <c r="G12" s="34"/>
      <c r="H12" s="34"/>
      <c r="I12" s="34"/>
    </row>
    <row r="13" spans="1:9" ht="15.75">
      <c r="A13" s="128"/>
      <c r="B13" s="147" t="s">
        <v>48</v>
      </c>
      <c r="C13" s="148"/>
      <c r="D13" s="213" t="str">
        <f>IF(D14=0,"",(D14/D14-D15/D14))</f>
        <v/>
      </c>
      <c r="E13" s="86" t="str">
        <f>IF(D14=0,"",(5*(D14-D15)+(-5)*D15)/D14)</f>
        <v/>
      </c>
      <c r="F13" s="72"/>
      <c r="G13" s="34"/>
      <c r="H13" s="34"/>
      <c r="I13" s="34"/>
    </row>
    <row r="14" spans="1:9" ht="18.75" customHeight="1">
      <c r="A14" s="128" t="s">
        <v>9</v>
      </c>
      <c r="B14" s="149" t="s">
        <v>136</v>
      </c>
      <c r="C14" s="150" t="s">
        <v>76</v>
      </c>
      <c r="D14" s="8">
        <v>0</v>
      </c>
      <c r="E14" s="87"/>
      <c r="F14" s="73"/>
      <c r="G14" s="34" t="s">
        <v>79</v>
      </c>
      <c r="H14" s="34"/>
      <c r="I14" s="34"/>
    </row>
    <row r="15" spans="1:9" ht="18" customHeight="1" thickBot="1">
      <c r="A15" s="151" t="s">
        <v>11</v>
      </c>
      <c r="B15" s="152" t="s">
        <v>47</v>
      </c>
      <c r="C15" s="209" t="s">
        <v>76</v>
      </c>
      <c r="D15" s="54">
        <v>0</v>
      </c>
      <c r="E15" s="109" t="str">
        <f>IF(D14=0,"",D15/D14)</f>
        <v/>
      </c>
      <c r="F15" s="110" t="e">
        <f>D15/D14</f>
        <v>#DIV/0!</v>
      </c>
      <c r="G15" s="34" t="s">
        <v>40</v>
      </c>
      <c r="H15" s="34"/>
      <c r="I15" s="34"/>
    </row>
    <row r="16" spans="1:9" ht="17.25" thickBot="1">
      <c r="A16" s="141" t="s">
        <v>6</v>
      </c>
      <c r="B16" s="153" t="s">
        <v>49</v>
      </c>
      <c r="C16" s="143">
        <v>5</v>
      </c>
      <c r="D16" s="14">
        <f>E16</f>
        <v>22</v>
      </c>
      <c r="E16" s="88">
        <f>SUM(E17,E21,E25)</f>
        <v>22</v>
      </c>
      <c r="F16" s="89"/>
      <c r="G16" s="34"/>
      <c r="H16" s="34"/>
      <c r="I16" s="34"/>
    </row>
    <row r="17" spans="1:28" ht="21" customHeight="1">
      <c r="A17" s="154" t="s">
        <v>28</v>
      </c>
      <c r="B17" s="155" t="s">
        <v>50</v>
      </c>
      <c r="C17" s="156"/>
      <c r="D17" s="32">
        <f>D18</f>
        <v>0.83333333333333337</v>
      </c>
      <c r="E17" s="111">
        <f>kriteria_GYM!A9</f>
        <v>2</v>
      </c>
      <c r="F17" s="91"/>
      <c r="G17" s="34"/>
      <c r="H17" s="34"/>
      <c r="I17" s="34"/>
    </row>
    <row r="18" spans="1:28" ht="31.5" customHeight="1">
      <c r="A18" s="128"/>
      <c r="B18" s="147" t="s">
        <v>97</v>
      </c>
      <c r="C18" s="157"/>
      <c r="D18" s="63">
        <f>D20/D19</f>
        <v>0.83333333333333337</v>
      </c>
      <c r="E18" s="92">
        <f>kriteria_GYM!A9</f>
        <v>2</v>
      </c>
      <c r="F18" s="67"/>
      <c r="G18" s="35" t="s">
        <v>41</v>
      </c>
      <c r="H18" s="34" t="s">
        <v>80</v>
      </c>
      <c r="I18" s="34"/>
    </row>
    <row r="19" spans="1:28" ht="31.5" customHeight="1">
      <c r="A19" s="128" t="s">
        <v>12</v>
      </c>
      <c r="B19" s="131" t="s">
        <v>147</v>
      </c>
      <c r="C19" s="158" t="s">
        <v>76</v>
      </c>
      <c r="D19" s="49">
        <v>66</v>
      </c>
      <c r="E19" s="92"/>
      <c r="F19" s="67"/>
      <c r="G19" s="35"/>
      <c r="H19" s="34"/>
      <c r="I19" s="34"/>
    </row>
    <row r="20" spans="1:28" ht="32.25" thickBot="1">
      <c r="A20" s="159" t="s">
        <v>13</v>
      </c>
      <c r="B20" s="160" t="s">
        <v>172</v>
      </c>
      <c r="C20" s="158" t="s">
        <v>76</v>
      </c>
      <c r="D20" s="48">
        <v>55</v>
      </c>
      <c r="E20" s="92"/>
      <c r="F20" s="67"/>
      <c r="G20" s="35"/>
      <c r="H20" s="34"/>
      <c r="I20" s="34"/>
    </row>
    <row r="21" spans="1:28" ht="36" customHeight="1" thickBot="1">
      <c r="A21" s="154" t="s">
        <v>29</v>
      </c>
      <c r="B21" s="161" t="s">
        <v>51</v>
      </c>
      <c r="C21" s="162"/>
      <c r="D21" s="20">
        <f>E21</f>
        <v>15</v>
      </c>
      <c r="E21" s="112">
        <f>SUM(E22:E24)</f>
        <v>15</v>
      </c>
      <c r="F21" s="90"/>
      <c r="G21" s="34"/>
      <c r="H21" s="34"/>
      <c r="I21" s="34"/>
    </row>
    <row r="22" spans="1:28" ht="31.5">
      <c r="A22" s="163" t="s">
        <v>14</v>
      </c>
      <c r="B22" s="164" t="s">
        <v>98</v>
      </c>
      <c r="C22" s="165" t="s">
        <v>142</v>
      </c>
      <c r="D22" s="38"/>
      <c r="E22" s="113">
        <f>IF(F22=1,5,-5)</f>
        <v>5</v>
      </c>
      <c r="F22" s="114">
        <v>1</v>
      </c>
      <c r="I22" s="1"/>
      <c r="L22" s="37"/>
      <c r="P22" s="1"/>
      <c r="S22" s="1"/>
      <c r="V22" s="39" t="s">
        <v>92</v>
      </c>
      <c r="Y22" s="1"/>
      <c r="AB22" s="1"/>
    </row>
    <row r="23" spans="1:28" ht="61.5" customHeight="1">
      <c r="A23" s="163" t="s">
        <v>16</v>
      </c>
      <c r="B23" s="166" t="s">
        <v>168</v>
      </c>
      <c r="C23" s="167" t="s">
        <v>142</v>
      </c>
      <c r="D23" s="40"/>
      <c r="E23" s="113">
        <f>IF(F23=1,5,-5)</f>
        <v>5</v>
      </c>
      <c r="F23" s="69">
        <v>1</v>
      </c>
      <c r="I23" s="1"/>
      <c r="L23" s="41"/>
      <c r="P23" s="1"/>
      <c r="S23" s="1"/>
      <c r="V23" s="1"/>
      <c r="Y23" s="1"/>
      <c r="AB23" s="1"/>
    </row>
    <row r="24" spans="1:28" ht="48" customHeight="1" thickBot="1">
      <c r="A24" s="163" t="s">
        <v>17</v>
      </c>
      <c r="B24" s="168" t="s">
        <v>180</v>
      </c>
      <c r="C24" s="169" t="s">
        <v>142</v>
      </c>
      <c r="D24" s="42"/>
      <c r="E24" s="113">
        <f>IF(F24=1,5,-5)</f>
        <v>5</v>
      </c>
      <c r="F24" s="115">
        <v>1</v>
      </c>
      <c r="I24" s="1"/>
      <c r="L24" s="1"/>
      <c r="P24" s="1"/>
      <c r="S24" s="1"/>
      <c r="V24" s="1"/>
      <c r="Y24" s="1"/>
      <c r="AB24" s="1"/>
    </row>
    <row r="25" spans="1:28" ht="24.75" customHeight="1">
      <c r="A25" s="170" t="s">
        <v>30</v>
      </c>
      <c r="B25" s="171" t="s">
        <v>52</v>
      </c>
      <c r="C25" s="145"/>
      <c r="D25" s="20">
        <f>E25</f>
        <v>5</v>
      </c>
      <c r="E25" s="112">
        <f>E26</f>
        <v>5</v>
      </c>
      <c r="F25" s="90"/>
      <c r="G25" s="34"/>
      <c r="H25" s="34"/>
      <c r="I25" s="34"/>
    </row>
    <row r="26" spans="1:28" ht="32.25" thickBot="1">
      <c r="A26" s="163" t="s">
        <v>18</v>
      </c>
      <c r="B26" s="172" t="s">
        <v>93</v>
      </c>
      <c r="C26" s="207" t="s">
        <v>142</v>
      </c>
      <c r="D26" s="31"/>
      <c r="E26" s="93">
        <f>IF(F26=1,5,-5)</f>
        <v>5</v>
      </c>
      <c r="F26" s="69">
        <v>1</v>
      </c>
      <c r="G26" s="34"/>
      <c r="H26" s="34"/>
      <c r="I26" s="34"/>
    </row>
    <row r="27" spans="1:28" ht="17.25" thickBot="1">
      <c r="A27" s="173" t="s">
        <v>10</v>
      </c>
      <c r="B27" s="142" t="s">
        <v>137</v>
      </c>
      <c r="C27" s="143">
        <v>5</v>
      </c>
      <c r="D27" s="5">
        <f>E27</f>
        <v>14</v>
      </c>
      <c r="E27" s="94">
        <f>SUM(E28,E45,E47)</f>
        <v>14</v>
      </c>
      <c r="F27" s="70"/>
      <c r="G27" s="34"/>
      <c r="H27" s="34"/>
      <c r="I27" s="34"/>
    </row>
    <row r="28" spans="1:28" s="1" customFormat="1" ht="15.75">
      <c r="A28" s="136"/>
      <c r="B28" s="174" t="s">
        <v>75</v>
      </c>
      <c r="C28" s="175"/>
      <c r="D28" s="36"/>
      <c r="E28" s="116">
        <f>SUM(E29,E35)</f>
        <v>10</v>
      </c>
      <c r="F28" s="71"/>
      <c r="G28" s="34"/>
      <c r="H28" s="34"/>
      <c r="I28" s="34"/>
    </row>
    <row r="29" spans="1:28" s="1" customFormat="1" ht="15.75">
      <c r="A29" s="128"/>
      <c r="B29" s="176" t="s">
        <v>88</v>
      </c>
      <c r="C29" s="177"/>
      <c r="D29" s="206">
        <f>IF(F6=2,"",(D30*D31+D32*D33+D32*D34)/(D30+2*D32))</f>
        <v>100</v>
      </c>
      <c r="E29" s="95">
        <f>kriteria_GYM!F10</f>
        <v>5</v>
      </c>
      <c r="F29" s="72"/>
      <c r="G29" s="34"/>
      <c r="H29" s="34"/>
      <c r="I29" s="34"/>
    </row>
    <row r="30" spans="1:28" s="1" customFormat="1" ht="15.75">
      <c r="A30" s="128" t="s">
        <v>96</v>
      </c>
      <c r="B30" s="178" t="s">
        <v>138</v>
      </c>
      <c r="C30" s="179" t="s">
        <v>76</v>
      </c>
      <c r="D30" s="64">
        <v>40</v>
      </c>
      <c r="E30" s="95"/>
      <c r="F30" s="72"/>
      <c r="G30" s="34" t="s">
        <v>42</v>
      </c>
      <c r="H30" s="34"/>
      <c r="I30" s="34"/>
    </row>
    <row r="31" spans="1:28" s="1" customFormat="1" ht="15.75">
      <c r="A31" s="128" t="s">
        <v>20</v>
      </c>
      <c r="B31" s="180" t="s">
        <v>81</v>
      </c>
      <c r="C31" s="181" t="str">
        <f>IF($F$6=2,"","vyplniť")</f>
        <v>vyplniť</v>
      </c>
      <c r="D31" s="205">
        <v>100</v>
      </c>
      <c r="E31" s="96"/>
      <c r="F31" s="73"/>
      <c r="G31" s="34" t="s">
        <v>42</v>
      </c>
      <c r="H31" s="34"/>
      <c r="I31" s="34"/>
    </row>
    <row r="32" spans="1:28" s="1" customFormat="1" ht="15.75">
      <c r="A32" s="128" t="s">
        <v>118</v>
      </c>
      <c r="B32" s="178" t="s">
        <v>139</v>
      </c>
      <c r="C32" s="181" t="s">
        <v>76</v>
      </c>
      <c r="D32" s="47">
        <v>25</v>
      </c>
      <c r="E32" s="96"/>
      <c r="F32" s="73"/>
      <c r="G32" s="34" t="s">
        <v>42</v>
      </c>
      <c r="H32" s="34"/>
      <c r="I32" s="34"/>
    </row>
    <row r="33" spans="1:10" s="1" customFormat="1" ht="15.75">
      <c r="A33" s="128" t="s">
        <v>119</v>
      </c>
      <c r="B33" s="180" t="s">
        <v>90</v>
      </c>
      <c r="C33" s="181" t="s">
        <v>76</v>
      </c>
      <c r="D33" s="205">
        <v>100</v>
      </c>
      <c r="E33" s="96"/>
      <c r="F33" s="73"/>
      <c r="G33" s="34" t="s">
        <v>42</v>
      </c>
      <c r="H33" s="219" t="s">
        <v>91</v>
      </c>
      <c r="I33" s="219"/>
      <c r="J33" s="219"/>
    </row>
    <row r="34" spans="1:10" s="1" customFormat="1" ht="15.75">
      <c r="A34" s="128" t="s">
        <v>120</v>
      </c>
      <c r="B34" s="180" t="s">
        <v>149</v>
      </c>
      <c r="C34" s="181" t="str">
        <f>IF($F$6=2,"","vyplniť")</f>
        <v>vyplniť</v>
      </c>
      <c r="D34" s="205">
        <v>100</v>
      </c>
      <c r="E34" s="96"/>
      <c r="F34" s="73"/>
      <c r="G34" s="34" t="s">
        <v>42</v>
      </c>
      <c r="H34" s="34"/>
      <c r="I34" s="34"/>
    </row>
    <row r="35" spans="1:10" s="1" customFormat="1" ht="15.75">
      <c r="A35" s="128"/>
      <c r="B35" s="176" t="s">
        <v>167</v>
      </c>
      <c r="C35" s="181"/>
      <c r="D35" s="208">
        <f>(D36*D37+D38*D39+D40*D41+D42*D43)/(D36+D38+D40+D42)</f>
        <v>100</v>
      </c>
      <c r="E35" s="97">
        <f>kriteria_GYM!K10</f>
        <v>5</v>
      </c>
      <c r="F35" s="73"/>
      <c r="G35" s="34"/>
      <c r="H35" s="34"/>
      <c r="I35" s="34"/>
    </row>
    <row r="36" spans="1:10" s="1" customFormat="1" ht="15.75">
      <c r="A36" s="128" t="s">
        <v>150</v>
      </c>
      <c r="B36" s="178" t="s">
        <v>160</v>
      </c>
      <c r="C36" s="181" t="s">
        <v>76</v>
      </c>
      <c r="D36" s="47"/>
      <c r="E36" s="96"/>
      <c r="F36" s="73"/>
      <c r="G36" s="34"/>
      <c r="H36" s="34"/>
      <c r="I36" s="34"/>
    </row>
    <row r="37" spans="1:10" s="1" customFormat="1" ht="15.75">
      <c r="A37" s="128" t="s">
        <v>121</v>
      </c>
      <c r="B37" s="180" t="s">
        <v>163</v>
      </c>
      <c r="C37" s="181" t="s">
        <v>76</v>
      </c>
      <c r="D37" s="205">
        <v>50</v>
      </c>
      <c r="E37" s="96"/>
      <c r="F37" s="73"/>
      <c r="G37" s="34"/>
      <c r="H37" s="34"/>
      <c r="I37" s="34"/>
    </row>
    <row r="38" spans="1:10" s="1" customFormat="1" ht="15.75">
      <c r="A38" s="128" t="s">
        <v>122</v>
      </c>
      <c r="B38" s="178" t="s">
        <v>166</v>
      </c>
      <c r="C38" s="181" t="s">
        <v>76</v>
      </c>
      <c r="D38" s="47">
        <v>20</v>
      </c>
      <c r="E38" s="96"/>
      <c r="F38" s="73"/>
      <c r="G38" s="34"/>
      <c r="H38" s="34"/>
      <c r="I38" s="34"/>
    </row>
    <row r="39" spans="1:10" s="1" customFormat="1" ht="15.75">
      <c r="A39" s="128" t="s">
        <v>123</v>
      </c>
      <c r="B39" s="180" t="s">
        <v>164</v>
      </c>
      <c r="C39" s="181" t="s">
        <v>76</v>
      </c>
      <c r="D39" s="205">
        <v>100</v>
      </c>
      <c r="E39" s="96"/>
      <c r="F39" s="73"/>
      <c r="G39" s="34"/>
      <c r="H39" s="34"/>
      <c r="I39" s="34"/>
    </row>
    <row r="40" spans="1:10" s="1" customFormat="1" ht="15.75">
      <c r="A40" s="128" t="s">
        <v>124</v>
      </c>
      <c r="B40" s="178" t="s">
        <v>162</v>
      </c>
      <c r="C40" s="181" t="s">
        <v>76</v>
      </c>
      <c r="D40" s="47">
        <v>5</v>
      </c>
      <c r="E40" s="96"/>
      <c r="F40" s="73"/>
      <c r="G40" s="34"/>
      <c r="H40" s="34"/>
      <c r="I40" s="34"/>
    </row>
    <row r="41" spans="1:10" s="1" customFormat="1" ht="15.75">
      <c r="A41" s="128" t="s">
        <v>125</v>
      </c>
      <c r="B41" s="180" t="s">
        <v>165</v>
      </c>
      <c r="C41" s="181" t="s">
        <v>76</v>
      </c>
      <c r="D41" s="205">
        <v>100</v>
      </c>
      <c r="E41" s="96"/>
      <c r="F41" s="73"/>
      <c r="G41" s="34"/>
      <c r="H41" s="34"/>
      <c r="I41" s="34"/>
    </row>
    <row r="42" spans="1:10" s="1" customFormat="1" ht="15.75">
      <c r="A42" s="128" t="s">
        <v>126</v>
      </c>
      <c r="B42" s="178" t="s">
        <v>161</v>
      </c>
      <c r="C42" s="181" t="s">
        <v>76</v>
      </c>
      <c r="D42" s="47">
        <v>6</v>
      </c>
      <c r="E42" s="96"/>
      <c r="F42" s="73"/>
      <c r="G42" s="34"/>
      <c r="H42" s="34"/>
      <c r="I42" s="34"/>
    </row>
    <row r="43" spans="1:10" s="1" customFormat="1" ht="15.75">
      <c r="A43" s="128" t="s">
        <v>127</v>
      </c>
      <c r="B43" s="180" t="s">
        <v>171</v>
      </c>
      <c r="C43" s="181" t="s">
        <v>76</v>
      </c>
      <c r="D43" s="205">
        <v>100</v>
      </c>
      <c r="E43" s="96"/>
      <c r="F43" s="73"/>
      <c r="G43" s="34"/>
      <c r="H43" s="34"/>
      <c r="I43" s="34"/>
    </row>
    <row r="44" spans="1:10" s="1" customFormat="1" ht="15.75">
      <c r="A44" s="128" t="s">
        <v>128</v>
      </c>
      <c r="B44" s="178" t="s">
        <v>140</v>
      </c>
      <c r="C44" s="181" t="s">
        <v>76</v>
      </c>
      <c r="D44" s="47">
        <v>15</v>
      </c>
      <c r="E44" s="97"/>
      <c r="F44" s="73"/>
      <c r="G44" s="34"/>
      <c r="H44" s="34"/>
      <c r="I44" s="34"/>
    </row>
    <row r="45" spans="1:10" s="1" customFormat="1" ht="15.75">
      <c r="A45" s="128" t="s">
        <v>151</v>
      </c>
      <c r="B45" s="180" t="s">
        <v>99</v>
      </c>
      <c r="C45" s="181" t="s">
        <v>76</v>
      </c>
      <c r="D45" s="205">
        <v>4</v>
      </c>
      <c r="E45" s="97">
        <f>kriteria_GYM!K21</f>
        <v>-1</v>
      </c>
      <c r="F45" s="73"/>
      <c r="G45" s="34"/>
      <c r="H45" s="34"/>
      <c r="I45" s="34"/>
    </row>
    <row r="46" spans="1:10" s="1" customFormat="1" ht="15.75">
      <c r="A46" s="128"/>
      <c r="B46" s="182" t="s">
        <v>53</v>
      </c>
      <c r="C46" s="183"/>
      <c r="D46" s="61">
        <f>E47</f>
        <v>5</v>
      </c>
      <c r="E46" s="97"/>
      <c r="F46" s="73"/>
      <c r="G46" s="34"/>
      <c r="H46" s="34"/>
      <c r="I46" s="34"/>
    </row>
    <row r="47" spans="1:10" s="1" customFormat="1" ht="15.75">
      <c r="A47" s="128"/>
      <c r="B47" s="182" t="s">
        <v>74</v>
      </c>
      <c r="C47" s="183"/>
      <c r="D47" s="4">
        <f>IF(F6=2,"",AVERAGE(D48:D50))</f>
        <v>0.95</v>
      </c>
      <c r="E47" s="97">
        <f>IF(F6=2,"",kriteria_GYM!F20)</f>
        <v>5</v>
      </c>
      <c r="F47" s="73"/>
      <c r="G47" s="34"/>
      <c r="H47" s="34"/>
      <c r="I47" s="34"/>
    </row>
    <row r="48" spans="1:10" s="1" customFormat="1" ht="15.75">
      <c r="A48" s="128" t="s">
        <v>152</v>
      </c>
      <c r="B48" s="180" t="s">
        <v>148</v>
      </c>
      <c r="C48" s="181" t="str">
        <f>IF($F$6=2,"","vyplniť")</f>
        <v>vyplniť</v>
      </c>
      <c r="D48" s="53">
        <v>0.95</v>
      </c>
      <c r="E48" s="96"/>
      <c r="F48" s="73"/>
      <c r="G48" s="34" t="s">
        <v>42</v>
      </c>
      <c r="H48" s="34"/>
      <c r="I48" s="34"/>
    </row>
    <row r="49" spans="1:9" s="1" customFormat="1" ht="15.75">
      <c r="A49" s="128" t="s">
        <v>153</v>
      </c>
      <c r="B49" s="180" t="s">
        <v>23</v>
      </c>
      <c r="C49" s="181" t="str">
        <f>IF($F$6=2,"","vyplniť")</f>
        <v>vyplniť</v>
      </c>
      <c r="D49" s="53"/>
      <c r="E49" s="96"/>
      <c r="F49" s="73"/>
      <c r="G49" s="34" t="s">
        <v>42</v>
      </c>
      <c r="H49" s="34"/>
      <c r="I49" s="34"/>
    </row>
    <row r="50" spans="1:9" s="1" customFormat="1" ht="16.5" thickBot="1">
      <c r="A50" s="184" t="s">
        <v>154</v>
      </c>
      <c r="B50" s="185" t="s">
        <v>24</v>
      </c>
      <c r="C50" s="186" t="str">
        <f>IF($F$6=2,"","vyplniť")</f>
        <v>vyplniť</v>
      </c>
      <c r="D50" s="122">
        <v>0.95</v>
      </c>
      <c r="E50" s="123"/>
      <c r="F50" s="124"/>
      <c r="G50" s="34" t="s">
        <v>42</v>
      </c>
      <c r="H50" s="34"/>
      <c r="I50" s="34"/>
    </row>
    <row r="51" spans="1:9" ht="33.75" thickBot="1">
      <c r="A51" s="187" t="s">
        <v>15</v>
      </c>
      <c r="B51" s="188" t="s">
        <v>43</v>
      </c>
      <c r="C51" s="189">
        <v>2</v>
      </c>
      <c r="D51" s="119">
        <f>E51</f>
        <v>8</v>
      </c>
      <c r="E51" s="120">
        <f>SUM(E52:E54)</f>
        <v>8</v>
      </c>
      <c r="F51" s="121"/>
      <c r="G51" s="34"/>
      <c r="H51" s="34"/>
      <c r="I51" s="34"/>
    </row>
    <row r="52" spans="1:9" ht="31.5">
      <c r="A52" s="133" t="s">
        <v>155</v>
      </c>
      <c r="B52" s="190" t="s">
        <v>116</v>
      </c>
      <c r="C52" s="191" t="s">
        <v>76</v>
      </c>
      <c r="D52" s="46">
        <v>12</v>
      </c>
      <c r="E52" s="98">
        <f>kriteria_GYM!A30</f>
        <v>2</v>
      </c>
      <c r="F52" s="74">
        <f>D52/D3</f>
        <v>0.02</v>
      </c>
      <c r="G52" s="34"/>
      <c r="H52" s="34"/>
      <c r="I52" s="34"/>
    </row>
    <row r="53" spans="1:9" ht="15.75">
      <c r="A53" s="133" t="s">
        <v>156</v>
      </c>
      <c r="B53" s="192" t="s">
        <v>115</v>
      </c>
      <c r="C53" s="191" t="s">
        <v>76</v>
      </c>
      <c r="D53" s="46">
        <v>6</v>
      </c>
      <c r="E53" s="99">
        <f>D53*1</f>
        <v>6</v>
      </c>
      <c r="F53" s="75"/>
      <c r="G53" s="34"/>
      <c r="H53" s="34"/>
      <c r="I53" s="34"/>
    </row>
    <row r="54" spans="1:9" ht="32.25" thickBot="1">
      <c r="A54" s="133" t="s">
        <v>157</v>
      </c>
      <c r="B54" s="190" t="s">
        <v>114</v>
      </c>
      <c r="C54" s="191" t="s">
        <v>76</v>
      </c>
      <c r="D54" s="46"/>
      <c r="E54" s="99">
        <f>D54*5</f>
        <v>0</v>
      </c>
      <c r="F54" s="76"/>
      <c r="G54" s="34" t="s">
        <v>86</v>
      </c>
      <c r="H54" s="34"/>
      <c r="I54" s="34"/>
    </row>
    <row r="55" spans="1:9" ht="17.25" thickBot="1">
      <c r="A55" s="173" t="s">
        <v>19</v>
      </c>
      <c r="B55" s="142" t="s">
        <v>44</v>
      </c>
      <c r="C55" s="143">
        <v>2</v>
      </c>
      <c r="D55" s="5">
        <f>IF(G56&lt;&gt;1,E55,0)</f>
        <v>4.333333333333333</v>
      </c>
      <c r="E55" s="100">
        <f>IF(D56&gt;D60,E56,E61)</f>
        <v>4.333333333333333</v>
      </c>
      <c r="F55" s="77"/>
      <c r="G55" s="34"/>
      <c r="H55" s="34"/>
      <c r="I55" s="34"/>
    </row>
    <row r="56" spans="1:9" ht="18.75" customHeight="1">
      <c r="A56" s="136" t="s">
        <v>158</v>
      </c>
      <c r="B56" s="193" t="s">
        <v>143</v>
      </c>
      <c r="C56" s="194" t="s">
        <v>144</v>
      </c>
      <c r="D56" s="52">
        <v>2010</v>
      </c>
      <c r="E56" s="101">
        <f>AVERAGE(E57:E59)</f>
        <v>4.333333333333333</v>
      </c>
      <c r="F56" s="12"/>
      <c r="G56" s="34" t="b">
        <f>IF(AND(D56="",D60=""),1)</f>
        <v>0</v>
      </c>
      <c r="H56" s="34"/>
      <c r="I56" s="34"/>
    </row>
    <row r="57" spans="1:9" ht="18.75" customHeight="1">
      <c r="A57" s="128" t="s">
        <v>159</v>
      </c>
      <c r="B57" s="195" t="s">
        <v>32</v>
      </c>
      <c r="C57" s="196" t="s">
        <v>142</v>
      </c>
      <c r="D57" s="17"/>
      <c r="E57" s="117">
        <f>IF(F57=1,5,(IF(F57=2,3,(IF(F57=3,1,IF(F57=4,-2,-5))))))</f>
        <v>5</v>
      </c>
      <c r="F57" s="12">
        <v>1</v>
      </c>
      <c r="G57" s="35" t="s">
        <v>41</v>
      </c>
      <c r="H57" s="34" t="s">
        <v>83</v>
      </c>
      <c r="I57" s="34"/>
    </row>
    <row r="58" spans="1:9" ht="18.75" customHeight="1">
      <c r="A58" s="128" t="s">
        <v>129</v>
      </c>
      <c r="B58" s="195" t="s">
        <v>33</v>
      </c>
      <c r="C58" s="196" t="s">
        <v>142</v>
      </c>
      <c r="D58" s="17"/>
      <c r="E58" s="117">
        <f>IF(F58=1,5,(IF(F58=2,3,(IF(F58=3,1,IF(F58=4,-2,-5))))))</f>
        <v>3</v>
      </c>
      <c r="F58" s="12">
        <v>2</v>
      </c>
      <c r="G58" s="35" t="s">
        <v>41</v>
      </c>
      <c r="H58" s="34" t="s">
        <v>83</v>
      </c>
      <c r="I58" s="34"/>
    </row>
    <row r="59" spans="1:9" ht="18.75" customHeight="1">
      <c r="A59" s="128" t="s">
        <v>130</v>
      </c>
      <c r="B59" s="195" t="s">
        <v>34</v>
      </c>
      <c r="C59" s="196" t="s">
        <v>142</v>
      </c>
      <c r="D59" s="17"/>
      <c r="E59" s="117">
        <f>IF(F59=1,5,(IF(F59=2,3,(IF(F59=3,1,IF(F59=4,-2,-5))))))</f>
        <v>5</v>
      </c>
      <c r="F59" s="12">
        <v>1</v>
      </c>
      <c r="G59" s="35" t="s">
        <v>41</v>
      </c>
      <c r="H59" s="34" t="s">
        <v>83</v>
      </c>
      <c r="I59" s="34"/>
    </row>
    <row r="60" spans="1:9" ht="31.5">
      <c r="A60" s="128" t="s">
        <v>131</v>
      </c>
      <c r="B60" s="197" t="s">
        <v>145</v>
      </c>
      <c r="C60" s="196" t="s">
        <v>144</v>
      </c>
      <c r="D60" s="58">
        <v>2009</v>
      </c>
      <c r="E60" s="117"/>
      <c r="F60" s="51"/>
      <c r="G60" s="34" t="s">
        <v>84</v>
      </c>
      <c r="H60" s="34"/>
      <c r="I60" s="34"/>
    </row>
    <row r="61" spans="1:9" ht="22.5" customHeight="1" thickBot="1">
      <c r="A61" s="138" t="s">
        <v>132</v>
      </c>
      <c r="B61" s="198" t="s">
        <v>141</v>
      </c>
      <c r="C61" s="199" t="s">
        <v>142</v>
      </c>
      <c r="D61" s="16"/>
      <c r="E61" s="118">
        <f>IF(F61=1,5,(IF(F61=2,3,(IF(F61=3,1,IF(F61=4,-2,-5))))))</f>
        <v>1</v>
      </c>
      <c r="F61" s="50">
        <v>3</v>
      </c>
      <c r="G61" s="34"/>
      <c r="H61" s="34"/>
      <c r="I61" s="34"/>
    </row>
    <row r="62" spans="1:9" ht="17.25" thickBot="1">
      <c r="A62" s="200" t="s">
        <v>31</v>
      </c>
      <c r="B62" s="201" t="s">
        <v>176</v>
      </c>
      <c r="C62" s="143">
        <v>1</v>
      </c>
      <c r="D62" s="65">
        <f>D63*1+D64*0.5</f>
        <v>6</v>
      </c>
      <c r="E62" s="102"/>
      <c r="F62" s="19"/>
    </row>
    <row r="63" spans="1:9" ht="31.5">
      <c r="A63" s="136" t="s">
        <v>133</v>
      </c>
      <c r="B63" s="202" t="s">
        <v>177</v>
      </c>
      <c r="C63" s="194" t="s">
        <v>76</v>
      </c>
      <c r="D63" s="46">
        <v>5</v>
      </c>
      <c r="E63" s="103"/>
      <c r="F63" s="15"/>
      <c r="G63" s="35" t="s">
        <v>41</v>
      </c>
      <c r="H63" s="34" t="s">
        <v>82</v>
      </c>
    </row>
    <row r="64" spans="1:9" ht="32.25" thickBot="1">
      <c r="A64" s="138" t="s">
        <v>134</v>
      </c>
      <c r="B64" s="203" t="s">
        <v>178</v>
      </c>
      <c r="C64" s="204" t="s">
        <v>76</v>
      </c>
      <c r="D64" s="59">
        <v>2</v>
      </c>
      <c r="E64" s="104"/>
      <c r="F64" s="18"/>
      <c r="G64" s="35" t="s">
        <v>41</v>
      </c>
      <c r="H64" s="34" t="s">
        <v>82</v>
      </c>
    </row>
    <row r="65" spans="1:14" hidden="1">
      <c r="C65" s="11"/>
      <c r="D65" s="6"/>
    </row>
    <row r="66" spans="1:14" hidden="1">
      <c r="C66" s="66"/>
      <c r="D66" s="10" t="s">
        <v>21</v>
      </c>
      <c r="F66" s="7" t="s">
        <v>21</v>
      </c>
    </row>
    <row r="67" spans="1:14" hidden="1">
      <c r="C67" s="66"/>
      <c r="D67" s="10" t="s">
        <v>22</v>
      </c>
      <c r="F67" s="7" t="s">
        <v>22</v>
      </c>
    </row>
    <row r="68" spans="1:14" hidden="1">
      <c r="C68" s="66"/>
    </row>
    <row r="69" spans="1:14" hidden="1">
      <c r="C69" s="66" t="s">
        <v>25</v>
      </c>
    </row>
    <row r="70" spans="1:14" hidden="1">
      <c r="C70" s="66" t="s">
        <v>26</v>
      </c>
    </row>
    <row r="71" spans="1:14" hidden="1">
      <c r="C71" s="66"/>
    </row>
    <row r="72" spans="1:14" hidden="1">
      <c r="C72" s="66" t="s">
        <v>35</v>
      </c>
    </row>
    <row r="73" spans="1:14" hidden="1">
      <c r="C73" s="66" t="s">
        <v>36</v>
      </c>
    </row>
    <row r="74" spans="1:14" s="6" customFormat="1" hidden="1">
      <c r="A74"/>
      <c r="B74" s="2"/>
      <c r="C74" s="66" t="s">
        <v>37</v>
      </c>
      <c r="D74" s="10"/>
      <c r="F74" s="7"/>
      <c r="G74"/>
      <c r="H74"/>
      <c r="I74"/>
      <c r="J74"/>
      <c r="K74"/>
      <c r="L74"/>
      <c r="M74"/>
      <c r="N74"/>
    </row>
    <row r="75" spans="1:14" s="6" customFormat="1" hidden="1">
      <c r="A75"/>
      <c r="B75" s="2"/>
      <c r="C75" s="66" t="s">
        <v>38</v>
      </c>
      <c r="D75" s="10"/>
      <c r="F75" s="7"/>
      <c r="G75"/>
      <c r="H75"/>
      <c r="I75"/>
      <c r="J75"/>
      <c r="K75"/>
      <c r="L75"/>
      <c r="M75"/>
      <c r="N75"/>
    </row>
    <row r="76" spans="1:14" s="6" customFormat="1" hidden="1">
      <c r="A76"/>
      <c r="B76" s="2"/>
      <c r="C76" s="66" t="s">
        <v>39</v>
      </c>
      <c r="D76" s="10"/>
      <c r="F76" s="7"/>
      <c r="G76"/>
      <c r="H76"/>
      <c r="I76"/>
      <c r="J76"/>
      <c r="K76"/>
      <c r="L76"/>
      <c r="M76"/>
      <c r="N76"/>
    </row>
    <row r="77" spans="1:14" s="6" customFormat="1">
      <c r="A77"/>
      <c r="B77" s="2"/>
      <c r="C77" s="11"/>
      <c r="F77" s="7"/>
      <c r="G77"/>
      <c r="H77"/>
      <c r="I77"/>
      <c r="J77"/>
      <c r="K77"/>
      <c r="L77"/>
      <c r="M77"/>
      <c r="N77"/>
    </row>
    <row r="78" spans="1:14" s="6" customFormat="1">
      <c r="A78"/>
      <c r="B78" s="2"/>
      <c r="C78" s="11"/>
      <c r="F78" s="7"/>
      <c r="G78"/>
      <c r="H78"/>
      <c r="I78"/>
      <c r="J78"/>
      <c r="K78"/>
      <c r="L78"/>
      <c r="M78"/>
      <c r="N78"/>
    </row>
    <row r="79" spans="1:14" s="6" customFormat="1">
      <c r="A79"/>
      <c r="B79" s="2"/>
      <c r="C79" s="11"/>
      <c r="F79" s="7"/>
      <c r="G79"/>
      <c r="H79"/>
      <c r="I79"/>
      <c r="J79"/>
      <c r="K79"/>
      <c r="L79"/>
      <c r="M79"/>
      <c r="N79"/>
    </row>
  </sheetData>
  <sheetProtection password="E6D8" sheet="1" objects="1" scenarios="1" selectLockedCells="1"/>
  <mergeCells count="3">
    <mergeCell ref="D6:D7"/>
    <mergeCell ref="E6:E7"/>
    <mergeCell ref="H33:J33"/>
  </mergeCells>
  <conditionalFormatting sqref="E22:E24 D25 E13">
    <cfRule type="cellIs" dxfId="2" priority="6" stopIfTrue="1" operator="lessThan">
      <formula>0</formula>
    </cfRule>
  </conditionalFormatting>
  <conditionalFormatting sqref="E17">
    <cfRule type="cellIs" dxfId="1" priority="4" stopIfTrue="1" operator="lessThan">
      <formula>2.5</formula>
    </cfRule>
    <cfRule type="cellIs" dxfId="0" priority="5" stopIfTrue="1" operator="lessThan">
      <formula>2</formula>
    </cfRule>
  </conditionalFormatting>
  <conditionalFormatting sqref="C31:C46">
    <cfRule type="cellIs" priority="2" operator="equal">
      <formula>"""vyplniť"""</formula>
    </cfRule>
  </conditionalFormatting>
  <dataValidations count="3">
    <dataValidation type="decimal" allowBlank="1" showInputMessage="1" showErrorMessage="1" sqref="D33:D35 D37 D39 D31 D41 D43 D45 D48 D49 D50">
      <formula1>0</formula1>
      <formula2>100</formula2>
    </dataValidation>
    <dataValidation type="whole" operator="greaterThanOrEqual" allowBlank="1" showInputMessage="1" showErrorMessage="1" sqref="D30 D32 D36 D38 D40 D42 D44 D52 D53 D54 D63 D64">
      <formula1>0</formula1>
    </dataValidation>
    <dataValidation type="whole" operator="greaterThanOrEqual" allowBlank="1" showInputMessage="1" showErrorMessage="1" sqref="D56 D60">
      <formula1>2000</formula1>
    </dataValidation>
  </dataValidations>
  <printOptions horizontalCentered="1"/>
  <pageMargins left="0" right="0" top="0.98425196850393704" bottom="0.98425196850393704" header="0.51181102362204722" footer="0.51181102362204722"/>
  <pageSetup paperSize="9" scale="70" orientation="portrait" r:id="rId1"/>
  <headerFooter>
    <oddHeader>&amp;C&amp;"Times New Roman,Tučné"&amp;24Formulár na vyhodnotenie kritérií pre gymnáziá&amp;RPríloha č. 1</oddHeader>
    <oddFooter>&amp;R&amp;P /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M30"/>
  <sheetViews>
    <sheetView topLeftCell="A3" workbookViewId="0">
      <selection activeCell="A19" sqref="A19:C19"/>
    </sheetView>
  </sheetViews>
  <sheetFormatPr defaultRowHeight="15"/>
  <cols>
    <col min="1" max="1" width="24.28515625" bestFit="1" customWidth="1"/>
    <col min="2" max="2" width="11.7109375" customWidth="1"/>
    <col min="3" max="3" width="14.5703125" customWidth="1"/>
    <col min="6" max="6" width="18.7109375" customWidth="1"/>
    <col min="7" max="7" width="12.7109375" customWidth="1"/>
    <col min="8" max="8" width="15.42578125" customWidth="1"/>
    <col min="11" max="11" width="17.7109375" customWidth="1"/>
    <col min="12" max="12" width="14.85546875" customWidth="1"/>
    <col min="13" max="13" width="19.42578125" customWidth="1"/>
  </cols>
  <sheetData>
    <row r="1" spans="1:13" ht="15.75" thickBot="1">
      <c r="A1" s="21" t="s">
        <v>95</v>
      </c>
    </row>
    <row r="2" spans="1:13" ht="16.5" thickBot="1">
      <c r="A2" s="220" t="s">
        <v>94</v>
      </c>
      <c r="B2" s="221"/>
      <c r="C2" s="222"/>
      <c r="F2" s="223" t="s">
        <v>68</v>
      </c>
      <c r="G2" s="224"/>
      <c r="H2" s="225"/>
      <c r="K2" s="223" t="s">
        <v>87</v>
      </c>
      <c r="L2" s="224"/>
      <c r="M2" s="225"/>
    </row>
    <row r="3" spans="1:13" ht="15.75">
      <c r="A3" s="27" t="str">
        <f>IF(hodnotenie_GYM!$D$18&gt;=0.95,1,"")</f>
        <v/>
      </c>
      <c r="B3" s="22">
        <v>5</v>
      </c>
      <c r="C3" s="23" t="s">
        <v>55</v>
      </c>
      <c r="F3" s="27">
        <f>IF(hodnotenie_GYM!$D$29&gt;=75,1,"")</f>
        <v>1</v>
      </c>
      <c r="G3" s="22">
        <v>5</v>
      </c>
      <c r="H3" s="23" t="s">
        <v>89</v>
      </c>
      <c r="K3" s="27">
        <f>IF(hodnotenie_GYM!D35&gt;=75,1,"")</f>
        <v>1</v>
      </c>
      <c r="L3" s="22">
        <v>5</v>
      </c>
      <c r="M3" s="23" t="s">
        <v>89</v>
      </c>
    </row>
    <row r="4" spans="1:13" ht="15.75">
      <c r="A4" s="28" t="str">
        <f>IF(AND(hodnotenie_GYM!$D$18&gt;=0.9,hodnotenie_GYM!$D$18&lt;0.95),1,"")</f>
        <v/>
      </c>
      <c r="B4" s="24">
        <v>4</v>
      </c>
      <c r="C4" s="25" t="s">
        <v>56</v>
      </c>
      <c r="F4" s="28" t="str">
        <f>IF(AND(hodnotenie_GYM!$D$29&gt;=55,hodnotenie_GYM!$D$29&lt;75),1,"")</f>
        <v/>
      </c>
      <c r="G4" s="24">
        <v>4</v>
      </c>
      <c r="H4" s="25" t="s">
        <v>101</v>
      </c>
      <c r="K4" s="28" t="str">
        <f>IF(AND(hodnotenie_GYM!D35&gt;=55,hodnotenie_GYM!D35&lt;75),1,"")</f>
        <v/>
      </c>
      <c r="L4" s="24">
        <v>4</v>
      </c>
      <c r="M4" s="25" t="s">
        <v>101</v>
      </c>
    </row>
    <row r="5" spans="1:13" ht="15.75">
      <c r="A5" s="28" t="str">
        <f>IF(AND(hodnotenie_GYM!$D$18&gt;=0.85,hodnotenie_GYM!$D$18&lt;0.9),1,"")</f>
        <v/>
      </c>
      <c r="B5" s="24">
        <v>3</v>
      </c>
      <c r="C5" s="25" t="s">
        <v>57</v>
      </c>
      <c r="F5" s="28" t="str">
        <f>IF(AND(hodnotenie_GYM!$D$29&gt;=45,hodnotenie_GYM!$D$29&lt;55),1,"")</f>
        <v/>
      </c>
      <c r="G5" s="24">
        <v>3</v>
      </c>
      <c r="H5" s="25" t="s">
        <v>102</v>
      </c>
      <c r="K5" s="28" t="str">
        <f>IF(AND(hodnotenie_GYM!D35&gt;=45,hodnotenie_GYM!D35&lt;55),1,"")</f>
        <v/>
      </c>
      <c r="L5" s="24">
        <v>3</v>
      </c>
      <c r="M5" s="25" t="s">
        <v>102</v>
      </c>
    </row>
    <row r="6" spans="1:13" ht="15.75">
      <c r="A6" s="28">
        <f>IF(AND(hodnotenie_GYM!$D$18&gt;=0.775,hodnotenie_GYM!$D$18&lt;0.85),1,"")</f>
        <v>1</v>
      </c>
      <c r="B6" s="24">
        <v>2</v>
      </c>
      <c r="C6" s="25" t="s">
        <v>58</v>
      </c>
      <c r="F6" s="28" t="str">
        <f>IF(AND(hodnotenie_GYM!$D$29&gt;=35,hodnotenie_GYM!$D$29&lt;45),1,"")</f>
        <v/>
      </c>
      <c r="G6" s="24">
        <v>2</v>
      </c>
      <c r="H6" s="25" t="s">
        <v>103</v>
      </c>
      <c r="K6" s="28" t="str">
        <f>IF(AND(hodnotenie_GYM!D35&gt;=35,hodnotenie_GYM!D35&lt;45),1,"")</f>
        <v/>
      </c>
      <c r="L6" s="24">
        <v>2</v>
      </c>
      <c r="M6" s="25" t="s">
        <v>103</v>
      </c>
    </row>
    <row r="7" spans="1:13" ht="15.75">
      <c r="A7" s="28" t="str">
        <f>IF(AND(hodnotenie_GYM!$D$18&gt;=0.7,hodnotenie_GYM!$D$18&lt;0.775),1,"")</f>
        <v/>
      </c>
      <c r="B7" s="24">
        <v>1</v>
      </c>
      <c r="C7" s="26" t="s">
        <v>59</v>
      </c>
      <c r="F7" s="28" t="str">
        <f>IF(AND(hodnotenie_GYM!$D$29&gt;=25,hodnotenie_GYM!$D$29&lt;35),1,"")</f>
        <v/>
      </c>
      <c r="G7" s="24">
        <v>1</v>
      </c>
      <c r="H7" s="26" t="s">
        <v>104</v>
      </c>
      <c r="K7" s="28" t="str">
        <f>IF(AND(hodnotenie_GYM!D35&gt;=25,hodnotenie_GYM!D35&lt;35),1,"")</f>
        <v/>
      </c>
      <c r="L7" s="24">
        <v>1</v>
      </c>
      <c r="M7" s="26" t="s">
        <v>104</v>
      </c>
    </row>
    <row r="8" spans="1:13" ht="16.5" thickBot="1">
      <c r="A8" s="28" t="str">
        <f>IF(AND(hodnotenie_GYM!$D$18&gt;=0,hodnotenie_GYM!$D$18&lt;0.7),1,"")</f>
        <v/>
      </c>
      <c r="B8" s="29">
        <v>0</v>
      </c>
      <c r="C8" s="30" t="s">
        <v>5</v>
      </c>
      <c r="F8" s="28" t="str">
        <f>IF(AND(hodnotenie_GYM!$D$29&gt;=15,hodnotenie_GYM!$D$29&lt;25),1,"")</f>
        <v/>
      </c>
      <c r="G8" s="29">
        <v>0</v>
      </c>
      <c r="H8" s="26" t="s">
        <v>105</v>
      </c>
      <c r="K8" s="28" t="str">
        <f>IF(AND(hodnotenie_GYM!D35&gt;=15,hodnotenie_GYM!D35&lt;25),1,"")</f>
        <v/>
      </c>
      <c r="L8" s="29">
        <v>0</v>
      </c>
      <c r="M8" s="26" t="s">
        <v>105</v>
      </c>
    </row>
    <row r="9" spans="1:13" ht="16.5" thickBot="1">
      <c r="A9" s="226">
        <f>VLOOKUP(1,A3:B8,2)</f>
        <v>2</v>
      </c>
      <c r="B9" s="227"/>
      <c r="C9" s="228"/>
      <c r="F9" s="28" t="str">
        <f>IF(AND(hodnotenie_GYM!$D$29&gt;=0,hodnotenie_GYM!$D$29&lt;15),1,"")</f>
        <v/>
      </c>
      <c r="G9" s="29">
        <v>-1</v>
      </c>
      <c r="H9" s="30" t="s">
        <v>106</v>
      </c>
      <c r="K9" s="28" t="str">
        <f>IF(AND(hodnotenie_GYM!D35&gt;=0,hodnotenie_GYM!D35&lt;15),1,"")</f>
        <v/>
      </c>
      <c r="L9" s="29">
        <v>-1</v>
      </c>
      <c r="M9" s="30" t="s">
        <v>106</v>
      </c>
    </row>
    <row r="10" spans="1:13" ht="16.5" thickBot="1">
      <c r="F10" s="229">
        <f>VLOOKUP(1,F3:G9,2)</f>
        <v>5</v>
      </c>
      <c r="G10" s="230"/>
      <c r="H10" s="231"/>
      <c r="K10" s="229">
        <f>VLOOKUP(1,K3:L9,2)</f>
        <v>5</v>
      </c>
      <c r="L10" s="230"/>
      <c r="M10" s="231"/>
    </row>
    <row r="11" spans="1:13" ht="15.75" thickBot="1"/>
    <row r="12" spans="1:13" ht="16.5" thickBot="1">
      <c r="A12" s="238" t="s">
        <v>72</v>
      </c>
      <c r="B12" s="239"/>
      <c r="C12" s="240"/>
    </row>
    <row r="13" spans="1:13" ht="16.5" thickBot="1">
      <c r="A13" s="27">
        <f>IF(hodnotenie_GYM!$D$10&gt;=0.9,1,"")</f>
        <v>1</v>
      </c>
      <c r="B13" s="22">
        <v>5</v>
      </c>
      <c r="C13" s="23" t="s">
        <v>60</v>
      </c>
      <c r="F13" s="241" t="s">
        <v>69</v>
      </c>
      <c r="G13" s="242"/>
      <c r="H13" s="243"/>
      <c r="K13" s="223" t="s">
        <v>100</v>
      </c>
      <c r="L13" s="224"/>
      <c r="M13" s="225"/>
    </row>
    <row r="14" spans="1:13" ht="15.75">
      <c r="A14" s="28" t="str">
        <f>IF(AND(hodnotenie_GYM!$D$10&gt;=0.8,hodnotenie_GYM!$D$10&lt;0.9),1,"")</f>
        <v/>
      </c>
      <c r="B14" s="24">
        <v>4</v>
      </c>
      <c r="C14" s="25" t="s">
        <v>61</v>
      </c>
      <c r="F14" s="27">
        <f>IF(hodnotenie_GYM!$D$47&gt;=0.9,1,"")</f>
        <v>1</v>
      </c>
      <c r="G14" s="22">
        <v>5</v>
      </c>
      <c r="H14" s="23" t="s">
        <v>60</v>
      </c>
      <c r="K14" s="27" t="str">
        <f>IF(hodnotenie_GYM!$D$45&gt;=75,1,"")</f>
        <v/>
      </c>
      <c r="L14" s="22">
        <v>5</v>
      </c>
      <c r="M14" s="23" t="s">
        <v>89</v>
      </c>
    </row>
    <row r="15" spans="1:13" ht="15.75">
      <c r="A15" s="28" t="str">
        <f>IF(AND(hodnotenie_GYM!$D$10&gt;=0.7,hodnotenie_GYM!$D$10&lt;0.8),1,"")</f>
        <v/>
      </c>
      <c r="B15" s="24">
        <v>3</v>
      </c>
      <c r="C15" s="25" t="s">
        <v>62</v>
      </c>
      <c r="F15" s="28" t="str">
        <f>IF(AND(hodnotenie_GYM!$D$47&gt;=0.8,hodnotenie_GYM!$D$47&lt;0.9),1,"")</f>
        <v/>
      </c>
      <c r="G15" s="24">
        <v>4</v>
      </c>
      <c r="H15" s="25" t="s">
        <v>61</v>
      </c>
      <c r="K15" s="28" t="str">
        <f>IF(AND(hodnotenie_GYM!$D$45&gt;=55,hodnotenie_GYM!$D$45&lt;75),1,"")</f>
        <v/>
      </c>
      <c r="L15" s="24">
        <v>4</v>
      </c>
      <c r="M15" s="25" t="s">
        <v>101</v>
      </c>
    </row>
    <row r="16" spans="1:13" ht="15.75">
      <c r="A16" s="28" t="str">
        <f>IF(AND(hodnotenie_GYM!$D$10&gt;=0.6,hodnotenie_GYM!$D$10&lt;0.7),1,"")</f>
        <v/>
      </c>
      <c r="B16" s="24">
        <v>2</v>
      </c>
      <c r="C16" s="25" t="s">
        <v>63</v>
      </c>
      <c r="F16" s="28" t="str">
        <f>IF(AND(hodnotenie_GYM!$D$47&gt;=0.6,hodnotenie_GYM!$D$47&lt;0.8),1,"")</f>
        <v/>
      </c>
      <c r="G16" s="24">
        <v>3</v>
      </c>
      <c r="H16" s="25" t="s">
        <v>67</v>
      </c>
      <c r="K16" s="28" t="str">
        <f>IF(AND(hodnotenie_GYM!$D$45&gt;=45,hodnotenie_GYM!$D$45&lt;55),1,"")</f>
        <v/>
      </c>
      <c r="L16" s="24">
        <v>3</v>
      </c>
      <c r="M16" s="25" t="s">
        <v>102</v>
      </c>
    </row>
    <row r="17" spans="1:13" ht="15.75">
      <c r="A17" s="28" t="str">
        <f>IF(AND(hodnotenie_GYM!$D$10&gt;=0.5,hodnotenie_GYM!$D$10&lt;0.6),1,"")</f>
        <v/>
      </c>
      <c r="B17" s="24">
        <v>1</v>
      </c>
      <c r="C17" s="26" t="s">
        <v>64</v>
      </c>
      <c r="F17" s="28" t="str">
        <f>IF(AND(hodnotenie_GYM!$D$47&gt;=0.4,hodnotenie_GYM!$D$47&lt;0.6),1,"")</f>
        <v/>
      </c>
      <c r="G17" s="24">
        <v>2</v>
      </c>
      <c r="H17" s="25" t="s">
        <v>66</v>
      </c>
      <c r="K17" s="28" t="str">
        <f>IF(AND(hodnotenie_GYM!$D$45&gt;=35,hodnotenie_GYM!$D$45&lt;45),1,"")</f>
        <v/>
      </c>
      <c r="L17" s="24">
        <v>2</v>
      </c>
      <c r="M17" s="25" t="s">
        <v>103</v>
      </c>
    </row>
    <row r="18" spans="1:13" ht="16.5" thickBot="1">
      <c r="A18" s="28" t="str">
        <f>IF(AND(hodnotenie_GYM!$D$10&gt;=0,hodnotenie_GYM!$D$10&lt;0.5),1,"")</f>
        <v/>
      </c>
      <c r="B18" s="29">
        <v>0</v>
      </c>
      <c r="C18" s="30" t="s">
        <v>65</v>
      </c>
      <c r="F18" s="28" t="str">
        <f>IF(AND(hodnotenie_GYM!$D$47&gt;0.25,hodnotenie_GYM!$D$47&lt;0.4),1,"")</f>
        <v/>
      </c>
      <c r="G18" s="24">
        <v>1</v>
      </c>
      <c r="H18" s="26" t="s">
        <v>70</v>
      </c>
      <c r="K18" s="28" t="str">
        <f>IF(AND(hodnotenie_GYM!$D$45&gt;=25,hodnotenie_GYM!$D$45&lt;35),1,"")</f>
        <v/>
      </c>
      <c r="L18" s="24">
        <v>1</v>
      </c>
      <c r="M18" s="26" t="s">
        <v>104</v>
      </c>
    </row>
    <row r="19" spans="1:13" ht="16.5" thickBot="1">
      <c r="A19" s="244">
        <f>VLOOKUP(1,A13:B18,2)</f>
        <v>5</v>
      </c>
      <c r="B19" s="245"/>
      <c r="C19" s="246"/>
      <c r="F19" s="28" t="str">
        <f>IF(AND(hodnotenie_GYM!$D$47&gt;=0,hodnotenie_GYM!$D$47&lt;=0.25),1,"")</f>
        <v/>
      </c>
      <c r="G19" s="29">
        <v>0</v>
      </c>
      <c r="H19" s="30" t="s">
        <v>71</v>
      </c>
      <c r="K19" s="28" t="str">
        <f>IF(AND(hodnotenie_GYM!$D$45&gt;=15,hodnotenie_GYM!$D$45&lt;25),1,"")</f>
        <v/>
      </c>
      <c r="L19" s="29">
        <v>0</v>
      </c>
      <c r="M19" s="26" t="s">
        <v>105</v>
      </c>
    </row>
    <row r="20" spans="1:13" ht="16.5" thickBot="1">
      <c r="F20" s="247">
        <f>VLOOKUP(1,F14:G19,2)</f>
        <v>5</v>
      </c>
      <c r="G20" s="248"/>
      <c r="H20" s="249"/>
      <c r="K20" s="28">
        <f>IF(AND(hodnotenie_GYM!$D$45&gt;=0,hodnotenie_GYM!$D$45&lt;15),1,"")</f>
        <v>1</v>
      </c>
      <c r="L20" s="29">
        <v>-1</v>
      </c>
      <c r="M20" s="30" t="s">
        <v>106</v>
      </c>
    </row>
    <row r="21" spans="1:13" ht="16.5" thickBot="1">
      <c r="K21" s="229">
        <f>VLOOKUP(1,K14:L20,2)</f>
        <v>-1</v>
      </c>
      <c r="L21" s="230"/>
      <c r="M21" s="231"/>
    </row>
    <row r="22" spans="1:13" ht="15.75" thickBot="1"/>
    <row r="23" spans="1:13" ht="16.5" thickBot="1">
      <c r="A23" s="232" t="s">
        <v>113</v>
      </c>
      <c r="B23" s="233"/>
      <c r="C23" s="234"/>
    </row>
    <row r="24" spans="1:13" ht="15.75">
      <c r="A24" s="27" t="str">
        <f>IF(hodnotenie_GYM!$F$52&gt;=0.055,1,"")</f>
        <v/>
      </c>
      <c r="B24" s="22">
        <v>5</v>
      </c>
      <c r="C24" s="23" t="s">
        <v>112</v>
      </c>
    </row>
    <row r="25" spans="1:13" ht="15.75">
      <c r="A25" s="28" t="str">
        <f>IF(AND(hodnotenie_GYM!$F$52&gt;=0.045,hodnotenie_GYM!$F$52&lt;0.055),1,"")</f>
        <v/>
      </c>
      <c r="B25" s="24">
        <v>4</v>
      </c>
      <c r="C25" s="25" t="s">
        <v>111</v>
      </c>
    </row>
    <row r="26" spans="1:13" ht="15.75">
      <c r="A26" s="28" t="str">
        <f>IF(AND(hodnotenie_GYM!$F$52&gt;=0.025,hodnotenie_GYM!$F$52&lt;0.045),1,"")</f>
        <v/>
      </c>
      <c r="B26" s="24">
        <v>3</v>
      </c>
      <c r="C26" s="25" t="s">
        <v>110</v>
      </c>
    </row>
    <row r="27" spans="1:13" ht="15.75">
      <c r="A27" s="28">
        <f>IF(AND(hodnotenie_GYM!$F$52&gt;=0.015,hodnotenie_GYM!$F$52&lt;0.025),1,"")</f>
        <v>1</v>
      </c>
      <c r="B27" s="24">
        <v>2</v>
      </c>
      <c r="C27" s="25" t="s">
        <v>109</v>
      </c>
    </row>
    <row r="28" spans="1:13" ht="15.75">
      <c r="A28" s="28" t="str">
        <f>IF(AND(hodnotenie_GYM!$F$52&gt;=0.005,hodnotenie_GYM!$F$52&lt;0.015),1,"")</f>
        <v/>
      </c>
      <c r="B28" s="24">
        <v>1</v>
      </c>
      <c r="C28" s="26" t="s">
        <v>108</v>
      </c>
    </row>
    <row r="29" spans="1:13" ht="16.5" thickBot="1">
      <c r="A29" s="28" t="str">
        <f>IF(AND(hodnotenie_GYM!$F$52&gt;=0,hodnotenie_GYM!$F$52&lt;0.005),1,"")</f>
        <v/>
      </c>
      <c r="B29" s="29">
        <v>0</v>
      </c>
      <c r="C29" s="30" t="s">
        <v>107</v>
      </c>
    </row>
    <row r="30" spans="1:13" ht="16.5" thickBot="1">
      <c r="A30" s="235">
        <f>VLOOKUP(1,A24:B29,2)</f>
        <v>2</v>
      </c>
      <c r="B30" s="236"/>
      <c r="C30" s="237"/>
    </row>
  </sheetData>
  <sheetProtection password="E6D8" sheet="1" objects="1" scenarios="1"/>
  <mergeCells count="14">
    <mergeCell ref="A23:C23"/>
    <mergeCell ref="A30:C30"/>
    <mergeCell ref="A12:C12"/>
    <mergeCell ref="F13:H13"/>
    <mergeCell ref="K13:M13"/>
    <mergeCell ref="K21:M21"/>
    <mergeCell ref="A19:C19"/>
    <mergeCell ref="F20:H20"/>
    <mergeCell ref="A2:C2"/>
    <mergeCell ref="F2:H2"/>
    <mergeCell ref="K2:M2"/>
    <mergeCell ref="A9:C9"/>
    <mergeCell ref="F10:H10"/>
    <mergeCell ref="K10:M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hodnotenie_GYM</vt:lpstr>
      <vt:lpstr>kriteria_GYM</vt:lpstr>
      <vt:lpstr>hodnotenie_GYM!Oblasť_tlače</vt:lpstr>
    </vt:vector>
  </TitlesOfParts>
  <Company>Štátna školská inšpekcia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kozakova</dc:creator>
  <cp:lastModifiedBy>kozakova</cp:lastModifiedBy>
  <cp:lastPrinted>2013-06-04T10:18:55Z</cp:lastPrinted>
  <dcterms:created xsi:type="dcterms:W3CDTF">2012-12-01T09:50:42Z</dcterms:created>
  <dcterms:modified xsi:type="dcterms:W3CDTF">2013-06-13T12:50:32Z</dcterms:modified>
</cp:coreProperties>
</file>